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20490" windowHeight="8445"/>
  </bookViews>
  <sheets>
    <sheet name="第　分団" sheetId="3" r:id="rId1"/>
  </sheets>
  <definedNames>
    <definedName name="_xlnm.Print_Area" localSheetId="0">'第　分団'!$A$1:$N$66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公務開発部</author>
  </authors>
  <commentList>
    <comment ref="AA6" authorId="0">
      <text>
        <r>
          <rPr>
            <b/>
            <sz val="9"/>
            <color indexed="81"/>
            <rFont val="MS P ゴシック"/>
          </rPr>
          <t>1日に対応する、前営業日を表示。
通知月（Ｎ７セル）により変動します。</t>
        </r>
      </text>
    </comment>
    <comment ref="AK7" authorId="0">
      <text>
        <r>
          <rPr>
            <b/>
            <sz val="10"/>
            <color indexed="81"/>
            <rFont val="MS P ゴシック"/>
          </rPr>
          <t>保険始期日が１日でない場合には、２回目の通知月が、第１回目と同じとなるため、２カ月目のみ数式が異なります。</t>
        </r>
        <r>
          <rPr>
            <sz val="9"/>
            <color indexed="81"/>
            <rFont val="MS P ゴシック"/>
          </rPr>
          <t xml:space="preserve">
</t>
        </r>
      </text>
    </comment>
    <comment ref="AL7" authorId="0">
      <text>
        <r>
          <rPr>
            <b/>
            <sz val="9"/>
            <color indexed="81"/>
            <rFont val="MS P ゴシック"/>
          </rPr>
          <t>保険始期日が１日でない場合には、２回目の通知対象期間の初日が通知締切日（Ｍ８セル）の翌日となるため、２行目のみ計算式が異なります。</t>
        </r>
        <r>
          <rPr>
            <sz val="9"/>
            <color indexed="81"/>
            <rFont val="MS P ゴシック"/>
          </rPr>
          <t xml:space="preserve">
</t>
        </r>
      </text>
    </comment>
    <comment ref="AN18" authorId="0">
      <text>
        <r>
          <rPr>
            <b/>
            <sz val="9"/>
            <color indexed="81"/>
            <rFont val="MS P ゴシック"/>
          </rPr>
          <t>１３回目の通知が必要となる場合には、始期日に応じて最終月が変動するため、前の行とは数式が異なります。</t>
        </r>
        <r>
          <rPr>
            <sz val="9"/>
            <color indexed="81"/>
            <rFont val="MS P ゴシック"/>
          </rPr>
          <t xml:space="preserve">
</t>
        </r>
      </text>
    </comment>
    <comment ref="AO5" authorId="0">
      <text>
        <r>
          <rPr>
            <b/>
            <sz val="9"/>
            <color indexed="81"/>
            <rFont val="MS P ゴシック"/>
          </rPr>
          <t>通知の最終日は、閏年の２月末日が変動しますので、Ｕ列の閏年「〇」をキーとして、判別する数式となっています。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<sst xmlns="http://schemas.openxmlformats.org/spreadsheetml/2006/main" xmlns:r="http://schemas.openxmlformats.org/officeDocument/2006/relationships" count="136" uniqueCount="136">
  <si>
    <t>14日</t>
    <rPh sb="2" eb="3">
      <t>ニチ</t>
    </rPh>
    <phoneticPr fontId="18"/>
  </si>
  <si>
    <t>12××</t>
  </si>
  <si>
    <t>台数</t>
    <rPh sb="0" eb="2">
      <t>ダイスウ</t>
    </rPh>
    <phoneticPr fontId="18"/>
  </si>
  <si>
    <t>月</t>
    <rPh sb="0" eb="1">
      <t>ゲツ</t>
    </rPh>
    <phoneticPr fontId="18"/>
  </si>
  <si>
    <t>消防団名</t>
    <rPh sb="0" eb="3">
      <t>ショウボウダン</t>
    </rPh>
    <rPh sb="3" eb="4">
      <t>メイ</t>
    </rPh>
    <phoneticPr fontId="18"/>
  </si>
  <si>
    <t>1日</t>
    <rPh sb="1" eb="2">
      <t>ニチ</t>
    </rPh>
    <phoneticPr fontId="18"/>
  </si>
  <si>
    <t>契約者名</t>
    <rPh sb="0" eb="3">
      <t>ケイヤクシャ</t>
    </rPh>
    <rPh sb="3" eb="4">
      <t>メイ</t>
    </rPh>
    <phoneticPr fontId="18"/>
  </si>
  <si>
    <t>通知締切日</t>
    <rPh sb="0" eb="2">
      <t>ツウチ</t>
    </rPh>
    <rPh sb="2" eb="5">
      <t>シメキリビ</t>
    </rPh>
    <phoneticPr fontId="18"/>
  </si>
  <si>
    <t>1月</t>
  </si>
  <si>
    <t>末日</t>
    <rPh sb="0" eb="1">
      <t>マツ</t>
    </rPh>
    <rPh sb="1" eb="2">
      <t>ニチ</t>
    </rPh>
    <phoneticPr fontId="18"/>
  </si>
  <si>
    <t>№</t>
  </si>
  <si>
    <t>通知日</t>
    <rPh sb="0" eb="2">
      <t>ツウチ</t>
    </rPh>
    <rPh sb="2" eb="3">
      <t>ビ</t>
    </rPh>
    <phoneticPr fontId="18"/>
  </si>
  <si>
    <t>1月</t>
    <rPh sb="1" eb="2">
      <t>ガツ</t>
    </rPh>
    <phoneticPr fontId="18"/>
  </si>
  <si>
    <t>5回目</t>
    <rPh sb="1" eb="3">
      <t>カイメ</t>
    </rPh>
    <phoneticPr fontId="18"/>
  </si>
  <si>
    <t>通知対象月</t>
    <rPh sb="0" eb="2">
      <t>ツウチ</t>
    </rPh>
    <rPh sb="2" eb="4">
      <t>タイショウ</t>
    </rPh>
    <rPh sb="4" eb="5">
      <t>ヅキ</t>
    </rPh>
    <phoneticPr fontId="18"/>
  </si>
  <si>
    <t>証券番号</t>
    <rPh sb="0" eb="2">
      <t>ショウケン</t>
    </rPh>
    <rPh sb="2" eb="4">
      <t>バンゴウ</t>
    </rPh>
    <phoneticPr fontId="18"/>
  </si>
  <si>
    <t>台</t>
    <rPh sb="0" eb="1">
      <t>ダイ</t>
    </rPh>
    <phoneticPr fontId="18"/>
  </si>
  <si>
    <t>登録番号</t>
    <rPh sb="0" eb="2">
      <t>トウロク</t>
    </rPh>
    <rPh sb="2" eb="4">
      <t>バンゴウ</t>
    </rPh>
    <phoneticPr fontId="18"/>
  </si>
  <si>
    <t>(例)自家用普通乗用車・自家用小型乗用車</t>
  </si>
  <si>
    <t>2030年</t>
    <rPh sb="4" eb="5">
      <t>ネン</t>
    </rPh>
    <phoneticPr fontId="18"/>
  </si>
  <si>
    <t>27日</t>
    <rPh sb="2" eb="3">
      <t>ニチ</t>
    </rPh>
    <phoneticPr fontId="18"/>
  </si>
  <si>
    <t>2023年</t>
    <rPh sb="4" eb="5">
      <t>ネン</t>
    </rPh>
    <phoneticPr fontId="18"/>
  </si>
  <si>
    <t>保険料</t>
    <rPh sb="0" eb="3">
      <t>ホケンリョウ</t>
    </rPh>
    <phoneticPr fontId="18"/>
  </si>
  <si>
    <t>備考</t>
    <rPh sb="0" eb="2">
      <t>ビコウ</t>
    </rPh>
    <phoneticPr fontId="18"/>
  </si>
  <si>
    <t>6月</t>
  </si>
  <si>
    <t>年</t>
    <rPh sb="0" eb="1">
      <t>ネン</t>
    </rPh>
    <phoneticPr fontId="18"/>
  </si>
  <si>
    <t>7月</t>
  </si>
  <si>
    <t>割増引き入力(%)</t>
    <rPh sb="0" eb="2">
      <t>ワリマシ</t>
    </rPh>
    <rPh sb="2" eb="3">
      <t>ビ</t>
    </rPh>
    <rPh sb="4" eb="6">
      <t>ニュウリョク</t>
    </rPh>
    <phoneticPr fontId="18"/>
  </si>
  <si>
    <t>車種区分</t>
    <rPh sb="0" eb="2">
      <t>シャシュ</t>
    </rPh>
    <rPh sb="2" eb="4">
      <t>クブン</t>
    </rPh>
    <phoneticPr fontId="18"/>
  </si>
  <si>
    <t>閏年</t>
    <rPh sb="0" eb="2">
      <t>ウルウドシ</t>
    </rPh>
    <phoneticPr fontId="18"/>
  </si>
  <si>
    <t>(例)2022/4/1</t>
  </si>
  <si>
    <t>末日</t>
    <rPh sb="0" eb="2">
      <t>マツジツ</t>
    </rPh>
    <phoneticPr fontId="18"/>
  </si>
  <si>
    <t>日</t>
    <rPh sb="0" eb="1">
      <t>ヒ</t>
    </rPh>
    <phoneticPr fontId="18"/>
  </si>
  <si>
    <t>閏年末日</t>
    <rPh sb="0" eb="2">
      <t>ウルウドシ</t>
    </rPh>
    <rPh sb="2" eb="4">
      <t>マツジツ</t>
    </rPh>
    <phoneticPr fontId="18"/>
  </si>
  <si>
    <t>○</t>
  </si>
  <si>
    <t>み</t>
  </si>
  <si>
    <t>災害救助活動実施日</t>
    <rPh sb="0" eb="2">
      <t>サイガイ</t>
    </rPh>
    <rPh sb="2" eb="4">
      <t>キュウジョ</t>
    </rPh>
    <rPh sb="4" eb="6">
      <t>カツドウ</t>
    </rPh>
    <rPh sb="6" eb="8">
      <t>ジッシ</t>
    </rPh>
    <rPh sb="8" eb="9">
      <t>ヒ</t>
    </rPh>
    <phoneticPr fontId="18"/>
  </si>
  <si>
    <t>5月</t>
  </si>
  <si>
    <t>車種区分（該当をリストから選択）</t>
    <rPh sb="0" eb="2">
      <t>シャシュ</t>
    </rPh>
    <rPh sb="2" eb="4">
      <t>クブン</t>
    </rPh>
    <rPh sb="5" eb="7">
      <t>ガイトウ</t>
    </rPh>
    <rPh sb="13" eb="15">
      <t>センタク</t>
    </rPh>
    <phoneticPr fontId="18"/>
  </si>
  <si>
    <t>(例)品川</t>
    <rPh sb="3" eb="5">
      <t>シナガワ</t>
    </rPh>
    <phoneticPr fontId="18"/>
  </si>
  <si>
    <t>合計</t>
    <rPh sb="0" eb="2">
      <t>ゴウケイ</t>
    </rPh>
    <phoneticPr fontId="18"/>
  </si>
  <si>
    <t>通知末</t>
    <rPh sb="0" eb="2">
      <t>ツウチ</t>
    </rPh>
    <rPh sb="2" eb="3">
      <t>マツ</t>
    </rPh>
    <phoneticPr fontId="18"/>
  </si>
  <si>
    <t>2024年</t>
    <rPh sb="4" eb="5">
      <t>ネン</t>
    </rPh>
    <phoneticPr fontId="18"/>
  </si>
  <si>
    <t>2025年</t>
    <rPh sb="4" eb="5">
      <t>ネン</t>
    </rPh>
    <phoneticPr fontId="18"/>
  </si>
  <si>
    <t>2026年</t>
    <rPh sb="4" eb="5">
      <t>ネン</t>
    </rPh>
    <phoneticPr fontId="18"/>
  </si>
  <si>
    <t>2027年</t>
    <rPh sb="4" eb="5">
      <t>ネン</t>
    </rPh>
    <phoneticPr fontId="18"/>
  </si>
  <si>
    <t>2028年</t>
    <rPh sb="4" eb="5">
      <t>ネン</t>
    </rPh>
    <phoneticPr fontId="18"/>
  </si>
  <si>
    <t>ダンプ</t>
  </si>
  <si>
    <t>通知方式</t>
    <rPh sb="0" eb="2">
      <t>ツウチ</t>
    </rPh>
    <rPh sb="2" eb="4">
      <t>ホウシキ</t>
    </rPh>
    <phoneticPr fontId="18"/>
  </si>
  <si>
    <t>2029年</t>
    <rPh sb="4" eb="5">
      <t>ネン</t>
    </rPh>
    <phoneticPr fontId="18"/>
  </si>
  <si>
    <t>2031年</t>
    <rPh sb="4" eb="5">
      <t>ネン</t>
    </rPh>
    <phoneticPr fontId="18"/>
  </si>
  <si>
    <t>月</t>
    <rPh sb="0" eb="1">
      <t>ツキ</t>
    </rPh>
    <phoneticPr fontId="18"/>
  </si>
  <si>
    <t>2032年</t>
    <rPh sb="4" eb="5">
      <t>ネン</t>
    </rPh>
    <phoneticPr fontId="18"/>
  </si>
  <si>
    <t>2月</t>
  </si>
  <si>
    <t>8月</t>
  </si>
  <si>
    <t>3月</t>
  </si>
  <si>
    <t>4月</t>
  </si>
  <si>
    <t>9月</t>
  </si>
  <si>
    <t>10月</t>
  </si>
  <si>
    <t>11月</t>
  </si>
  <si>
    <t>12月</t>
  </si>
  <si>
    <t>31日</t>
    <rPh sb="2" eb="3">
      <t>ニチ</t>
    </rPh>
    <phoneticPr fontId="18"/>
  </si>
  <si>
    <t>30日</t>
    <rPh sb="2" eb="3">
      <t>ニチ</t>
    </rPh>
    <phoneticPr fontId="18"/>
  </si>
  <si>
    <t>28日</t>
    <rPh sb="2" eb="3">
      <t>ニチ</t>
    </rPh>
    <phoneticPr fontId="18"/>
  </si>
  <si>
    <t>29日</t>
    <rPh sb="2" eb="3">
      <t>ニチ</t>
    </rPh>
    <phoneticPr fontId="18"/>
  </si>
  <si>
    <t>2日</t>
    <rPh sb="1" eb="2">
      <t>ニチ</t>
    </rPh>
    <phoneticPr fontId="18"/>
  </si>
  <si>
    <t>3日</t>
    <rPh sb="1" eb="2">
      <t>ニチ</t>
    </rPh>
    <phoneticPr fontId="18"/>
  </si>
  <si>
    <t>4日</t>
    <rPh sb="1" eb="2">
      <t>ニチ</t>
    </rPh>
    <phoneticPr fontId="18"/>
  </si>
  <si>
    <t>5日</t>
    <rPh sb="1" eb="2">
      <t>ニチ</t>
    </rPh>
    <phoneticPr fontId="18"/>
  </si>
  <si>
    <t>毎月通知・毎月精算</t>
  </si>
  <si>
    <t>6日</t>
    <rPh sb="1" eb="2">
      <t>ニチ</t>
    </rPh>
    <phoneticPr fontId="18"/>
  </si>
  <si>
    <t>7日</t>
    <rPh sb="1" eb="2">
      <t>ニチ</t>
    </rPh>
    <phoneticPr fontId="18"/>
  </si>
  <si>
    <t>8日</t>
    <rPh sb="1" eb="2">
      <t>ニチ</t>
    </rPh>
    <phoneticPr fontId="18"/>
  </si>
  <si>
    <t>9日</t>
    <rPh sb="1" eb="2">
      <t>ニチ</t>
    </rPh>
    <phoneticPr fontId="18"/>
  </si>
  <si>
    <t>10日</t>
    <rPh sb="2" eb="3">
      <t>ニチ</t>
    </rPh>
    <phoneticPr fontId="18"/>
  </si>
  <si>
    <t>11日</t>
    <rPh sb="2" eb="3">
      <t>ニチ</t>
    </rPh>
    <phoneticPr fontId="18"/>
  </si>
  <si>
    <t>13日</t>
    <rPh sb="2" eb="3">
      <t>ニチ</t>
    </rPh>
    <phoneticPr fontId="18"/>
  </si>
  <si>
    <t>12日</t>
    <rPh sb="2" eb="3">
      <t>ニチ</t>
    </rPh>
    <phoneticPr fontId="18"/>
  </si>
  <si>
    <t>15日</t>
    <rPh sb="2" eb="3">
      <t>ニチ</t>
    </rPh>
    <phoneticPr fontId="18"/>
  </si>
  <si>
    <t>16日</t>
    <rPh sb="2" eb="3">
      <t>ニチ</t>
    </rPh>
    <phoneticPr fontId="18"/>
  </si>
  <si>
    <t>17日</t>
    <rPh sb="2" eb="3">
      <t>ニチ</t>
    </rPh>
    <phoneticPr fontId="18"/>
  </si>
  <si>
    <t>18日</t>
    <rPh sb="2" eb="3">
      <t>ニチ</t>
    </rPh>
    <phoneticPr fontId="18"/>
  </si>
  <si>
    <t>19日</t>
    <rPh sb="2" eb="3">
      <t>ニチ</t>
    </rPh>
    <phoneticPr fontId="18"/>
  </si>
  <si>
    <t>1回目</t>
  </si>
  <si>
    <t>20日</t>
    <rPh sb="2" eb="3">
      <t>ニチ</t>
    </rPh>
    <phoneticPr fontId="18"/>
  </si>
  <si>
    <t>21日</t>
    <rPh sb="2" eb="3">
      <t>ニチ</t>
    </rPh>
    <phoneticPr fontId="18"/>
  </si>
  <si>
    <t>22日</t>
    <rPh sb="2" eb="3">
      <t>ニチ</t>
    </rPh>
    <phoneticPr fontId="18"/>
  </si>
  <si>
    <t>23日</t>
    <rPh sb="2" eb="3">
      <t>ニチ</t>
    </rPh>
    <phoneticPr fontId="18"/>
  </si>
  <si>
    <t>24日</t>
    <rPh sb="2" eb="3">
      <t>ニチ</t>
    </rPh>
    <phoneticPr fontId="18"/>
  </si>
  <si>
    <t>25日</t>
    <rPh sb="2" eb="3">
      <t>ニチ</t>
    </rPh>
    <phoneticPr fontId="18"/>
  </si>
  <si>
    <t>26日</t>
    <rPh sb="2" eb="3">
      <t>ニチ</t>
    </rPh>
    <phoneticPr fontId="18"/>
  </si>
  <si>
    <t>2033年</t>
    <rPh sb="4" eb="5">
      <t>ネン</t>
    </rPh>
    <phoneticPr fontId="18"/>
  </si>
  <si>
    <t>-</t>
  </si>
  <si>
    <t>保険始期日</t>
    <rPh sb="0" eb="2">
      <t>ホケン</t>
    </rPh>
    <rPh sb="2" eb="4">
      <t>シキ</t>
    </rPh>
    <rPh sb="4" eb="5">
      <t>ビ</t>
    </rPh>
    <phoneticPr fontId="18"/>
  </si>
  <si>
    <t>2034年</t>
    <rPh sb="4" eb="5">
      <t>ネン</t>
    </rPh>
    <phoneticPr fontId="18"/>
  </si>
  <si>
    <t>1回目</t>
    <rPh sb="1" eb="3">
      <t>カイメ</t>
    </rPh>
    <phoneticPr fontId="18"/>
  </si>
  <si>
    <t>2回目</t>
    <rPh sb="1" eb="3">
      <t>カイメ</t>
    </rPh>
    <phoneticPr fontId="18"/>
  </si>
  <si>
    <t>3回目</t>
    <rPh sb="1" eb="3">
      <t>カイメ</t>
    </rPh>
    <phoneticPr fontId="18"/>
  </si>
  <si>
    <t>4回目</t>
    <rPh sb="1" eb="3">
      <t>カイメ</t>
    </rPh>
    <phoneticPr fontId="18"/>
  </si>
  <si>
    <t>6回目</t>
    <rPh sb="1" eb="3">
      <t>カイメ</t>
    </rPh>
    <phoneticPr fontId="18"/>
  </si>
  <si>
    <t>7回目</t>
    <rPh sb="1" eb="3">
      <t>カイメ</t>
    </rPh>
    <phoneticPr fontId="18"/>
  </si>
  <si>
    <t>8回目</t>
    <rPh sb="1" eb="3">
      <t>カイメ</t>
    </rPh>
    <phoneticPr fontId="18"/>
  </si>
  <si>
    <t>9回目</t>
    <rPh sb="1" eb="3">
      <t>カイメ</t>
    </rPh>
    <phoneticPr fontId="18"/>
  </si>
  <si>
    <t>10回目</t>
    <rPh sb="2" eb="4">
      <t>カイメ</t>
    </rPh>
    <phoneticPr fontId="18"/>
  </si>
  <si>
    <t>11回目</t>
    <rPh sb="2" eb="4">
      <t>カイメ</t>
    </rPh>
    <phoneticPr fontId="18"/>
  </si>
  <si>
    <t>12回目</t>
    <rPh sb="2" eb="4">
      <t>カイメ</t>
    </rPh>
    <phoneticPr fontId="18"/>
  </si>
  <si>
    <t>始期日</t>
    <rPh sb="0" eb="2">
      <t>シキ</t>
    </rPh>
    <rPh sb="2" eb="3">
      <t>ビ</t>
    </rPh>
    <phoneticPr fontId="18"/>
  </si>
  <si>
    <t>締切日</t>
    <rPh sb="0" eb="3">
      <t>シメキリビ</t>
    </rPh>
    <phoneticPr fontId="18"/>
  </si>
  <si>
    <t>出動実績なし</t>
    <rPh sb="0" eb="2">
      <t>シュツドウ</t>
    </rPh>
    <rPh sb="2" eb="4">
      <t>ジッセキ</t>
    </rPh>
    <phoneticPr fontId="18"/>
  </si>
  <si>
    <t>バス</t>
  </si>
  <si>
    <t>タクシー</t>
  </si>
  <si>
    <t>農耕作業用自動車（小型）</t>
  </si>
  <si>
    <t/>
  </si>
  <si>
    <t>2035年</t>
    <rPh sb="4" eb="5">
      <t>ネン</t>
    </rPh>
    <phoneticPr fontId="18"/>
  </si>
  <si>
    <t>スリム</t>
  </si>
  <si>
    <t>保険料フラット</t>
    <rPh sb="0" eb="2">
      <t>ホケン</t>
    </rPh>
    <rPh sb="2" eb="3">
      <t>リョウ</t>
    </rPh>
    <phoneticPr fontId="18"/>
  </si>
  <si>
    <t>％割引</t>
  </si>
  <si>
    <t>スタンダード</t>
  </si>
  <si>
    <t>自家用乗用車群（白ナンバー）</t>
    <rPh sb="0" eb="3">
      <t>ジカヨウ</t>
    </rPh>
    <rPh sb="3" eb="6">
      <t>ジョウヨウシャ</t>
    </rPh>
    <rPh sb="6" eb="7">
      <t>グン</t>
    </rPh>
    <rPh sb="8" eb="9">
      <t>シロ</t>
    </rPh>
    <phoneticPr fontId="35"/>
  </si>
  <si>
    <t>自家用貨物車群（白ナンバー）</t>
    <rPh sb="0" eb="3">
      <t>ジカヨウ</t>
    </rPh>
    <rPh sb="3" eb="6">
      <t>カモツシャ</t>
    </rPh>
    <rPh sb="6" eb="7">
      <t>グン</t>
    </rPh>
    <rPh sb="8" eb="9">
      <t>シロ</t>
    </rPh>
    <phoneticPr fontId="35"/>
  </si>
  <si>
    <t>自家用軽四群（黄色ナンバー）</t>
    <rPh sb="0" eb="3">
      <t>ジカヨウ</t>
    </rPh>
    <rPh sb="3" eb="4">
      <t>ケイ</t>
    </rPh>
    <rPh sb="4" eb="5">
      <t>ヨン</t>
    </rPh>
    <rPh sb="5" eb="6">
      <t>グン</t>
    </rPh>
    <rPh sb="7" eb="9">
      <t>キイロ</t>
    </rPh>
    <phoneticPr fontId="35"/>
  </si>
  <si>
    <t>営業用軽四貨物（黒ナンバー）</t>
    <rPh sb="0" eb="3">
      <t>エイギョウヨウ</t>
    </rPh>
    <rPh sb="3" eb="4">
      <t>ケイ</t>
    </rPh>
    <rPh sb="4" eb="5">
      <t>ヨン</t>
    </rPh>
    <rPh sb="5" eb="7">
      <t>カモツ</t>
    </rPh>
    <rPh sb="8" eb="9">
      <t>クロ</t>
    </rPh>
    <phoneticPr fontId="35"/>
  </si>
  <si>
    <t>二輪（原動機付自転車を除く）</t>
    <rPh sb="0" eb="2">
      <t>ニリン</t>
    </rPh>
    <phoneticPr fontId="35"/>
  </si>
  <si>
    <t>原動機付自転車</t>
    <rPh sb="0" eb="3">
      <t>ゲンドウキ</t>
    </rPh>
    <rPh sb="3" eb="4">
      <t>ツキ</t>
    </rPh>
    <rPh sb="4" eb="7">
      <t>ジテンシャ</t>
    </rPh>
    <phoneticPr fontId="35"/>
  </si>
  <si>
    <t>営業用普通貨物車（緑ナンバー）</t>
    <rPh sb="0" eb="3">
      <t>エイギョウヨウ</t>
    </rPh>
    <rPh sb="3" eb="5">
      <t>フツウ</t>
    </rPh>
    <rPh sb="5" eb="8">
      <t>カモツシャ</t>
    </rPh>
    <rPh sb="9" eb="10">
      <t>ミドリ</t>
    </rPh>
    <phoneticPr fontId="35"/>
  </si>
  <si>
    <t>キャンピング車</t>
    <rPh sb="6" eb="7">
      <t>シャ</t>
    </rPh>
    <phoneticPr fontId="35"/>
  </si>
  <si>
    <t>特殊用途車・工作車・クレーン車</t>
    <rPh sb="0" eb="2">
      <t>トクシュ</t>
    </rPh>
    <rPh sb="2" eb="4">
      <t>ヨウト</t>
    </rPh>
    <rPh sb="4" eb="5">
      <t>シャ</t>
    </rPh>
    <rPh sb="6" eb="8">
      <t>コウサク</t>
    </rPh>
    <rPh sb="8" eb="9">
      <t>シャ</t>
    </rPh>
    <rPh sb="14" eb="15">
      <t>シャ</t>
    </rPh>
    <phoneticPr fontId="35"/>
  </si>
  <si>
    <t>13回目判定</t>
    <rPh sb="2" eb="4">
      <t>カイメ</t>
    </rPh>
    <rPh sb="4" eb="6">
      <t>ハンテイ</t>
    </rPh>
    <phoneticPr fontId="18"/>
  </si>
  <si>
    <t>通知対象月の通知回目</t>
    <rPh sb="0" eb="2">
      <t>ツウチ</t>
    </rPh>
    <rPh sb="2" eb="4">
      <t>タイショウ</t>
    </rPh>
    <rPh sb="4" eb="5">
      <t>ヅキ</t>
    </rPh>
    <rPh sb="6" eb="8">
      <t>ツウチ</t>
    </rPh>
    <rPh sb="8" eb="10">
      <t>カイメ</t>
    </rPh>
    <phoneticPr fontId="18"/>
  </si>
  <si>
    <t>プラン選択</t>
    <rPh sb="3" eb="5">
      <t>センタク</t>
    </rPh>
    <phoneticPr fontId="18"/>
  </si>
  <si>
    <t>消防団員・水防団員の災害救助活動従事中補償特約　通知明細書</t>
    <rPh sb="0" eb="3">
      <t>ショウボウダン</t>
    </rPh>
    <rPh sb="3" eb="4">
      <t>イン</t>
    </rPh>
    <rPh sb="5" eb="7">
      <t>スイボウ</t>
    </rPh>
    <rPh sb="7" eb="8">
      <t>ダン</t>
    </rPh>
    <rPh sb="8" eb="9">
      <t>イン</t>
    </rPh>
    <rPh sb="10" eb="12">
      <t>サイガイ</t>
    </rPh>
    <rPh sb="12" eb="14">
      <t>キュウジョ</t>
    </rPh>
    <rPh sb="14" eb="16">
      <t>カツドウ</t>
    </rPh>
    <rPh sb="16" eb="19">
      <t>ジュウジチュウ</t>
    </rPh>
    <rPh sb="19" eb="21">
      <t>ホショウ</t>
    </rPh>
    <rPh sb="21" eb="23">
      <t>トクヤク</t>
    </rPh>
    <rPh sb="24" eb="26">
      <t>ツウチ</t>
    </rPh>
    <rPh sb="26" eb="29">
      <t>メイサイショ</t>
    </rPh>
    <phoneticPr fontId="18"/>
  </si>
  <si>
    <t>車名（任意）</t>
    <rPh sb="0" eb="2">
      <t>シャメイ</t>
    </rPh>
    <rPh sb="3" eb="5">
      <t>ニンイ</t>
    </rPh>
    <phoneticPr fontId="18"/>
  </si>
  <si>
    <t>１出動保険料</t>
    <rPh sb="1" eb="3">
      <t>シュツドウ</t>
    </rPh>
    <rPh sb="3" eb="6">
      <t>ホケンリョウ</t>
    </rPh>
    <phoneticPr fontId="18"/>
  </si>
  <si>
    <t>小計（任意）</t>
    <rPh sb="0" eb="2">
      <t>ショウケイ</t>
    </rPh>
    <rPh sb="3" eb="5">
      <t>ニンイ</t>
    </rPh>
    <phoneticPr fontId="18"/>
  </si>
  <si>
    <t>城里町長　上遠野　修</t>
    <rPh sb="0" eb="2">
      <t>シロサト</t>
    </rPh>
    <rPh sb="2" eb="4">
      <t>チョウチョウ</t>
    </rPh>
    <rPh sb="5" eb="8">
      <t>カトウノ</t>
    </rPh>
    <rPh sb="9" eb="10">
      <t>オサム</t>
    </rPh>
    <phoneticPr fontId="18"/>
  </si>
  <si>
    <t>城里町消防団第   分団</t>
    <rPh sb="0" eb="3">
      <t>シロサトマチ</t>
    </rPh>
    <rPh sb="3" eb="6">
      <t>ショウボウダン</t>
    </rPh>
    <rPh sb="6" eb="7">
      <t>ダイ</t>
    </rPh>
    <rPh sb="10" eb="12">
      <t>ブンダン</t>
    </rPh>
    <phoneticPr fontId="1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</si>
</sst>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_);[Red]\(#,##0\)"/>
    <numFmt numFmtId="177" formatCode="yyyy/m/d;@"/>
    <numFmt numFmtId="178" formatCode="#,##0_ "/>
  </numFmts>
  <fonts count="36">
    <font>
      <sz val="11"/>
      <color auto="1"/>
      <name val="ＭＳ 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rgb="FF9C6500"/>
      <name val="ＭＳ Ｐゴシック"/>
      <family val="3"/>
    </font>
    <font>
      <sz val="18"/>
      <color theme="3"/>
      <name val="游ゴシック Light"/>
      <family val="3"/>
    </font>
    <font>
      <b/>
      <sz val="11"/>
      <color indexed="9"/>
      <name val="ＭＳ Ｐゴシック"/>
      <family val="3"/>
    </font>
    <font>
      <sz val="11"/>
      <color rgb="FFFA7D00"/>
      <name val="ＭＳ Ｐゴシック"/>
      <family val="3"/>
    </font>
    <font>
      <sz val="11"/>
      <color rgb="FF3F3F76"/>
      <name val="ＭＳ Ｐゴシック"/>
      <family val="3"/>
    </font>
    <font>
      <b/>
      <sz val="11"/>
      <color rgb="FF3F3F3F"/>
      <name val="ＭＳ Ｐゴシック"/>
      <family val="3"/>
    </font>
    <font>
      <sz val="11"/>
      <color rgb="FF9C0006"/>
      <name val="ＭＳ Ｐゴシック"/>
      <family val="3"/>
    </font>
    <font>
      <sz val="11"/>
      <color rgb="FF006100"/>
      <name val="ＭＳ Ｐゴシック"/>
      <family val="3"/>
    </font>
    <font>
      <b/>
      <sz val="15"/>
      <color theme="3"/>
      <name val="ＭＳ Ｐゴシック"/>
      <family val="3"/>
    </font>
    <font>
      <b/>
      <sz val="13"/>
      <color theme="3"/>
      <name val="ＭＳ Ｐゴシック"/>
      <family val="3"/>
    </font>
    <font>
      <b/>
      <sz val="11"/>
      <color theme="3"/>
      <name val="ＭＳ Ｐゴシック"/>
      <family val="3"/>
    </font>
    <font>
      <b/>
      <sz val="11"/>
      <color rgb="FFFA7D00"/>
      <name val="ＭＳ Ｐゴシック"/>
      <family val="3"/>
    </font>
    <font>
      <i/>
      <sz val="11"/>
      <color rgb="FF7F7F7F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ゴシック"/>
      <family val="3"/>
    </font>
    <font>
      <sz val="11"/>
      <color auto="1"/>
      <name val="ＭＳ 明朝"/>
      <family val="1"/>
    </font>
    <font>
      <sz val="11"/>
      <color theme="1"/>
      <name val="ＭＳ 明朝"/>
      <family val="1"/>
    </font>
    <font>
      <sz val="8"/>
      <color auto="1"/>
      <name val="ＭＳ 明朝"/>
      <family val="1"/>
    </font>
    <font>
      <sz val="6"/>
      <color auto="1"/>
      <name val="ＭＳ 明朝"/>
      <family val="1"/>
    </font>
    <font>
      <sz val="9"/>
      <color theme="1"/>
      <name val="Meiryo UI"/>
      <family val="3"/>
    </font>
    <font>
      <sz val="14"/>
      <color auto="1"/>
      <name val="ＭＳ 明朝"/>
      <family val="1"/>
    </font>
    <font>
      <b/>
      <sz val="14"/>
      <color auto="1"/>
      <name val="ＭＳ 明朝"/>
      <family val="1"/>
    </font>
    <font>
      <sz val="10"/>
      <color auto="1"/>
      <name val="ＭＳ 明朝"/>
      <family val="1"/>
    </font>
    <font>
      <sz val="16"/>
      <color auto="1"/>
      <name val="ＭＳ 明朝"/>
      <family val="1"/>
    </font>
    <font>
      <sz val="11"/>
      <color auto="1"/>
      <name val="ＭＳ ゴシック"/>
      <family val="3"/>
    </font>
    <font>
      <sz val="8"/>
      <color rgb="FFFF0000"/>
      <name val="ＭＳ 明朝"/>
      <family val="1"/>
    </font>
    <font>
      <sz val="10"/>
      <color theme="0"/>
      <name val="ＭＳ 明朝"/>
      <family val="1"/>
    </font>
    <font>
      <sz val="6"/>
      <color theme="1"/>
      <name val="ＭＳ 明朝"/>
      <family val="1"/>
    </font>
    <font>
      <sz val="11"/>
      <color theme="0"/>
      <name val="ＭＳ 明朝"/>
      <family val="1"/>
    </font>
    <font>
      <sz val="10"/>
      <color auto="1"/>
      <name val="Meiryo UI"/>
      <family val="3"/>
    </font>
    <font>
      <sz val="9"/>
      <color auto="1"/>
      <name val="ＭＳ 明朝"/>
      <family val="1"/>
    </font>
    <font>
      <sz val="6"/>
      <color auto="1"/>
      <name val="ＭＳ Ｐゴシック"/>
      <family val="3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</fills>
  <borders count="53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5"/>
      </bottom>
      <diagonal/>
    </border>
    <border>
      <left/>
      <right/>
      <top/>
      <bottom style="medium">
        <color theme="4" tint="0.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7" borderId="1" applyNumberFormat="0" applyAlignment="0" applyProtection="0">
      <alignment vertical="center"/>
    </xf>
    <xf numFmtId="0" fontId="1" fillId="28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29" borderId="4" applyNumberFormat="0" applyAlignment="0" applyProtection="0">
      <alignment vertical="center"/>
    </xf>
    <xf numFmtId="0" fontId="8" fillId="30" borderId="5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0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38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19" fillId="0" borderId="0" xfId="0" applyFont="1" applyProtection="1">
      <alignment vertical="center"/>
      <protection hidden="1"/>
    </xf>
    <xf numFmtId="0" fontId="20" fillId="0" borderId="0" xfId="0" applyFont="1" applyProtection="1">
      <alignment vertical="center"/>
      <protection hidden="1"/>
    </xf>
    <xf numFmtId="176" fontId="19" fillId="0" borderId="0" xfId="0" applyNumberFormat="1" applyFont="1" applyProtection="1">
      <alignment vertical="center"/>
      <protection hidden="1"/>
    </xf>
    <xf numFmtId="0" fontId="21" fillId="0" borderId="0" xfId="0" applyFont="1" applyProtection="1">
      <alignment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0" fontId="22" fillId="0" borderId="0" xfId="0" applyFont="1" applyProtection="1">
      <alignment vertical="center"/>
      <protection hidden="1"/>
    </xf>
    <xf numFmtId="0" fontId="23" fillId="0" borderId="0" xfId="0" applyFont="1" applyBorder="1" applyAlignment="1" applyProtection="1">
      <alignment horizontal="center" vertical="center"/>
      <protection hidden="1"/>
    </xf>
    <xf numFmtId="0" fontId="24" fillId="0" borderId="0" xfId="0" applyFont="1" applyAlignment="1" applyProtection="1">
      <alignment horizontal="centerContinuous"/>
      <protection hidden="1"/>
    </xf>
    <xf numFmtId="0" fontId="25" fillId="0" borderId="0" xfId="0" applyFont="1" applyProtection="1">
      <alignment vertical="center"/>
      <protection hidden="1"/>
    </xf>
    <xf numFmtId="0" fontId="19" fillId="33" borderId="10" xfId="0" applyFont="1" applyFill="1" applyBorder="1" applyAlignment="1" applyProtection="1">
      <alignment horizontal="centerContinuous" vertical="center"/>
      <protection hidden="1"/>
    </xf>
    <xf numFmtId="0" fontId="19" fillId="33" borderId="11" xfId="0" applyFont="1" applyFill="1" applyBorder="1" applyAlignment="1" applyProtection="1">
      <alignment horizontal="centerContinuous" vertical="center"/>
      <protection hidden="1"/>
    </xf>
    <xf numFmtId="0" fontId="19" fillId="0" borderId="11" xfId="0" applyFont="1" applyBorder="1" applyProtection="1">
      <alignment vertical="center"/>
      <protection hidden="1"/>
    </xf>
    <xf numFmtId="0" fontId="26" fillId="0" borderId="0" xfId="0" applyFont="1" applyProtection="1">
      <alignment vertical="center"/>
      <protection hidden="1"/>
    </xf>
    <xf numFmtId="0" fontId="21" fillId="34" borderId="12" xfId="0" applyFont="1" applyFill="1" applyBorder="1" applyAlignment="1" applyProtection="1">
      <alignment horizontal="center" vertical="center"/>
      <protection hidden="1"/>
    </xf>
    <xf numFmtId="0" fontId="19" fillId="34" borderId="13" xfId="0" applyFont="1" applyFill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0" fontId="21" fillId="0" borderId="16" xfId="0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horizontal="center" vertical="center" wrapText="1"/>
      <protection hidden="1"/>
    </xf>
    <xf numFmtId="0" fontId="21" fillId="0" borderId="13" xfId="0" applyFont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horizontal="centerContinuous" vertical="center"/>
      <protection hidden="1"/>
    </xf>
    <xf numFmtId="0" fontId="27" fillId="0" borderId="0" xfId="0" applyFont="1" applyAlignment="1" applyProtection="1">
      <alignment horizontal="centerContinuous" vertical="center"/>
      <protection hidden="1"/>
    </xf>
    <xf numFmtId="0" fontId="21" fillId="33" borderId="10" xfId="0" applyFont="1" applyFill="1" applyBorder="1" applyAlignment="1" applyProtection="1">
      <alignment horizontal="centerContinuous" vertical="center"/>
      <protection hidden="1"/>
    </xf>
    <xf numFmtId="0" fontId="19" fillId="33" borderId="17" xfId="0" applyFont="1" applyFill="1" applyBorder="1" applyAlignment="1" applyProtection="1">
      <alignment horizontal="centerContinuous" vertical="center"/>
      <protection hidden="1"/>
    </xf>
    <xf numFmtId="0" fontId="19" fillId="33" borderId="18" xfId="0" applyFont="1" applyFill="1" applyBorder="1" applyAlignment="1" applyProtection="1">
      <alignment horizontal="centerContinuous" vertical="center"/>
      <protection hidden="1"/>
    </xf>
    <xf numFmtId="0" fontId="19" fillId="0" borderId="18" xfId="0" applyFont="1" applyBorder="1" applyAlignment="1" applyProtection="1">
      <alignment horizontal="center" vertical="center" shrinkToFit="1"/>
      <protection locked="0" hidden="1"/>
    </xf>
    <xf numFmtId="0" fontId="21" fillId="34" borderId="19" xfId="0" applyFont="1" applyFill="1" applyBorder="1" applyAlignment="1" applyProtection="1">
      <alignment horizontal="center" vertical="center" wrapText="1"/>
      <protection hidden="1"/>
    </xf>
    <xf numFmtId="0" fontId="21" fillId="34" borderId="20" xfId="0" applyFont="1" applyFill="1" applyBorder="1" applyAlignment="1" applyProtection="1">
      <alignment horizontal="center" vertical="center"/>
      <protection hidden="1"/>
    </xf>
    <xf numFmtId="177" fontId="21" fillId="0" borderId="21" xfId="0" applyNumberFormat="1" applyFont="1" applyBorder="1" applyAlignment="1" applyProtection="1">
      <alignment horizontal="center" vertical="center"/>
      <protection locked="0" hidden="1"/>
    </xf>
    <xf numFmtId="177" fontId="21" fillId="0" borderId="10" xfId="0" applyNumberFormat="1" applyFont="1" applyBorder="1" applyAlignment="1" applyProtection="1">
      <alignment horizontal="center" vertical="center"/>
      <protection locked="0" hidden="1"/>
    </xf>
    <xf numFmtId="177" fontId="21" fillId="0" borderId="22" xfId="0" applyNumberFormat="1" applyFont="1" applyBorder="1" applyAlignment="1" applyProtection="1">
      <alignment horizontal="center" vertical="center"/>
      <protection locked="0" hidden="1"/>
    </xf>
    <xf numFmtId="0" fontId="19" fillId="0" borderId="23" xfId="0" applyFont="1" applyBorder="1" applyProtection="1">
      <alignment vertical="center"/>
      <protection hidden="1"/>
    </xf>
    <xf numFmtId="0" fontId="19" fillId="0" borderId="24" xfId="0" applyFont="1" applyBorder="1" applyProtection="1">
      <alignment vertical="center"/>
      <protection hidden="1"/>
    </xf>
    <xf numFmtId="0" fontId="19" fillId="0" borderId="0" xfId="0" applyFont="1" applyAlignment="1" applyProtection="1">
      <alignment horizontal="centerContinuous" vertical="center"/>
      <protection hidden="1"/>
    </xf>
    <xf numFmtId="0" fontId="19" fillId="0" borderId="18" xfId="0" applyFont="1" applyBorder="1" applyAlignment="1" applyProtection="1">
      <alignment horizontal="right" vertical="center"/>
      <protection hidden="1"/>
    </xf>
    <xf numFmtId="0" fontId="19" fillId="0" borderId="11" xfId="0" applyFont="1" applyBorder="1" applyAlignment="1" applyProtection="1">
      <alignment horizontal="left" vertical="center"/>
      <protection locked="0" hidden="1"/>
    </xf>
    <xf numFmtId="0" fontId="21" fillId="33" borderId="18" xfId="0" applyFont="1" applyFill="1" applyBorder="1" applyAlignment="1" applyProtection="1">
      <alignment horizontal="centerContinuous" vertical="center"/>
      <protection hidden="1"/>
    </xf>
    <xf numFmtId="178" fontId="19" fillId="0" borderId="18" xfId="0" applyNumberFormat="1" applyFont="1" applyBorder="1" applyAlignment="1" applyProtection="1">
      <alignment horizontal="center" vertical="center"/>
      <protection locked="0" hidden="1"/>
    </xf>
    <xf numFmtId="0" fontId="21" fillId="34" borderId="23" xfId="0" applyFont="1" applyFill="1" applyBorder="1" applyAlignment="1" applyProtection="1">
      <alignment horizontal="centerContinuous" vertical="center"/>
      <protection hidden="1"/>
    </xf>
    <xf numFmtId="0" fontId="21" fillId="34" borderId="25" xfId="0" applyFont="1" applyFill="1" applyBorder="1" applyAlignment="1" applyProtection="1">
      <alignment horizontal="centerContinuous" vertical="center"/>
      <protection hidden="1"/>
    </xf>
    <xf numFmtId="178" fontId="21" fillId="0" borderId="26" xfId="0" applyNumberFormat="1" applyFont="1" applyBorder="1" applyAlignment="1" applyProtection="1">
      <alignment horizontal="center" vertical="center"/>
      <protection locked="0" hidden="1"/>
    </xf>
    <xf numFmtId="0" fontId="19" fillId="0" borderId="27" xfId="0" applyFont="1" applyBorder="1" applyProtection="1">
      <alignment vertical="center"/>
      <protection hidden="1"/>
    </xf>
    <xf numFmtId="0" fontId="19" fillId="0" borderId="28" xfId="0" applyFont="1" applyBorder="1" applyProtection="1">
      <alignment vertical="center"/>
      <protection hidden="1"/>
    </xf>
    <xf numFmtId="0" fontId="19" fillId="0" borderId="11" xfId="0" applyFont="1" applyBorder="1" applyAlignment="1" applyProtection="1">
      <alignment horizontal="left" vertical="center"/>
      <protection hidden="1"/>
    </xf>
    <xf numFmtId="0" fontId="19" fillId="0" borderId="29" xfId="0" applyFont="1" applyBorder="1" applyAlignment="1" applyProtection="1">
      <alignment horizontal="right" vertical="center"/>
      <protection hidden="1"/>
    </xf>
    <xf numFmtId="0" fontId="19" fillId="0" borderId="18" xfId="0" applyFont="1" applyBorder="1" applyAlignment="1" applyProtection="1">
      <alignment horizontal="left" vertical="center"/>
      <protection locked="0" hidden="1"/>
    </xf>
    <xf numFmtId="178" fontId="19" fillId="0" borderId="17" xfId="0" applyNumberFormat="1" applyFont="1" applyBorder="1" applyAlignment="1" applyProtection="1">
      <alignment horizontal="center" vertical="center"/>
      <protection locked="0" hidden="1"/>
    </xf>
    <xf numFmtId="0" fontId="21" fillId="34" borderId="30" xfId="0" applyFont="1" applyFill="1" applyBorder="1" applyAlignment="1" applyProtection="1">
      <alignment horizontal="centerContinuous" vertical="center"/>
      <protection hidden="1"/>
    </xf>
    <xf numFmtId="0" fontId="19" fillId="0" borderId="31" xfId="0" applyFont="1" applyBorder="1" applyProtection="1">
      <alignment vertical="center"/>
      <protection hidden="1"/>
    </xf>
    <xf numFmtId="0" fontId="19" fillId="0" borderId="0" xfId="0" applyFont="1" applyBorder="1" applyProtection="1">
      <alignment vertical="center"/>
      <protection hidden="1"/>
    </xf>
    <xf numFmtId="0" fontId="19" fillId="0" borderId="18" xfId="0" applyFont="1" applyBorder="1" applyProtection="1">
      <alignment vertical="center"/>
      <protection hidden="1"/>
    </xf>
    <xf numFmtId="0" fontId="26" fillId="0" borderId="18" xfId="0" applyFont="1" applyBorder="1" applyAlignment="1" applyProtection="1">
      <alignment horizontal="left" vertical="center"/>
      <protection hidden="1"/>
    </xf>
    <xf numFmtId="0" fontId="21" fillId="34" borderId="32" xfId="0" applyFont="1" applyFill="1" applyBorder="1" applyAlignment="1" applyProtection="1">
      <alignment horizontal="center" vertical="center"/>
      <protection hidden="1"/>
    </xf>
    <xf numFmtId="0" fontId="21" fillId="0" borderId="33" xfId="0" applyFont="1" applyBorder="1" applyAlignment="1" applyProtection="1">
      <alignment horizontal="center" vertical="center"/>
      <protection locked="0" hidden="1"/>
    </xf>
    <xf numFmtId="0" fontId="21" fillId="0" borderId="34" xfId="0" applyFont="1" applyBorder="1" applyAlignment="1" applyProtection="1">
      <alignment horizontal="center" vertical="center"/>
      <protection locked="0" hidden="1"/>
    </xf>
    <xf numFmtId="0" fontId="21" fillId="0" borderId="32" xfId="0" applyFont="1" applyBorder="1" applyAlignment="1" applyProtection="1">
      <alignment horizontal="center" vertical="center"/>
      <protection locked="0" hidden="1"/>
    </xf>
    <xf numFmtId="0" fontId="19" fillId="0" borderId="18" xfId="0" applyFont="1" applyBorder="1" applyAlignment="1" applyProtection="1">
      <alignment horizontal="center" vertical="center"/>
      <protection hidden="1"/>
    </xf>
    <xf numFmtId="0" fontId="21" fillId="0" borderId="18" xfId="0" applyFont="1" applyBorder="1" applyProtection="1">
      <alignment vertical="center"/>
      <protection hidden="1"/>
    </xf>
    <xf numFmtId="0" fontId="21" fillId="34" borderId="35" xfId="0" applyFont="1" applyFill="1" applyBorder="1" applyAlignment="1" applyProtection="1">
      <alignment horizontal="centerContinuous" vertical="center"/>
      <protection hidden="1"/>
    </xf>
    <xf numFmtId="0" fontId="21" fillId="34" borderId="36" xfId="0" applyFont="1" applyFill="1" applyBorder="1" applyAlignment="1" applyProtection="1">
      <alignment horizontal="center" vertical="center"/>
      <protection hidden="1"/>
    </xf>
    <xf numFmtId="0" fontId="21" fillId="0" borderId="37" xfId="0" applyFont="1" applyBorder="1" applyAlignment="1" applyProtection="1">
      <alignment horizontal="center" vertical="center"/>
      <protection locked="0" hidden="1"/>
    </xf>
    <xf numFmtId="0" fontId="21" fillId="0" borderId="38" xfId="0" applyFont="1" applyBorder="1" applyAlignment="1" applyProtection="1">
      <alignment horizontal="center" vertical="center"/>
      <protection locked="0" hidden="1"/>
    </xf>
    <xf numFmtId="0" fontId="21" fillId="0" borderId="36" xfId="0" applyFont="1" applyBorder="1" applyAlignment="1" applyProtection="1">
      <alignment horizontal="center" vertical="center"/>
      <protection locked="0" hidden="1"/>
    </xf>
    <xf numFmtId="0" fontId="21" fillId="0" borderId="31" xfId="0" applyFont="1" applyBorder="1" applyProtection="1">
      <alignment vertical="center"/>
      <protection hidden="1"/>
    </xf>
    <xf numFmtId="0" fontId="26" fillId="0" borderId="0" xfId="0" applyFont="1" applyAlignment="1" applyProtection="1">
      <alignment horizontal="centerContinuous" vertical="center"/>
      <protection hidden="1"/>
    </xf>
    <xf numFmtId="0" fontId="26" fillId="0" borderId="18" xfId="0" applyFont="1" applyBorder="1" applyAlignment="1" applyProtection="1">
      <alignment horizontal="centerContinuous" vertical="center"/>
      <protection hidden="1"/>
    </xf>
    <xf numFmtId="178" fontId="21" fillId="0" borderId="0" xfId="0" applyNumberFormat="1" applyFont="1" applyProtection="1">
      <alignment vertical="center"/>
      <protection hidden="1"/>
    </xf>
    <xf numFmtId="0" fontId="26" fillId="0" borderId="29" xfId="0" applyFont="1" applyBorder="1" applyAlignment="1" applyProtection="1">
      <alignment horizontal="centerContinuous" vertical="center"/>
      <protection hidden="1"/>
    </xf>
    <xf numFmtId="0" fontId="21" fillId="34" borderId="39" xfId="0" applyFont="1" applyFill="1" applyBorder="1" applyAlignment="1" applyProtection="1">
      <alignment horizontal="center" vertical="center"/>
      <protection hidden="1"/>
    </xf>
    <xf numFmtId="0" fontId="21" fillId="0" borderId="40" xfId="0" applyFont="1" applyBorder="1" applyAlignment="1" applyProtection="1">
      <alignment horizontal="center" vertical="center"/>
      <protection locked="0" hidden="1"/>
    </xf>
    <xf numFmtId="0" fontId="21" fillId="0" borderId="41" xfId="0" applyFont="1" applyBorder="1" applyAlignment="1" applyProtection="1">
      <alignment horizontal="center" vertical="center"/>
      <protection locked="0" hidden="1"/>
    </xf>
    <xf numFmtId="0" fontId="21" fillId="0" borderId="39" xfId="0" applyFont="1" applyBorder="1" applyAlignment="1" applyProtection="1">
      <alignment horizontal="center" vertical="center"/>
      <protection locked="0" hidden="1"/>
    </xf>
    <xf numFmtId="0" fontId="19" fillId="0" borderId="17" xfId="0" applyFont="1" applyBorder="1" applyAlignment="1" applyProtection="1">
      <alignment horizontal="left" vertical="center"/>
      <protection locked="0" hidden="1"/>
    </xf>
    <xf numFmtId="0" fontId="19" fillId="0" borderId="10" xfId="0" applyFont="1" applyBorder="1" applyAlignment="1" applyProtection="1">
      <alignment horizontal="center" vertical="center"/>
      <protection hidden="1"/>
    </xf>
    <xf numFmtId="0" fontId="21" fillId="34" borderId="19" xfId="0" applyFont="1" applyFill="1" applyBorder="1" applyAlignment="1" applyProtection="1">
      <alignment horizontal="center" vertical="center"/>
      <protection hidden="1"/>
    </xf>
    <xf numFmtId="38" fontId="21" fillId="0" borderId="26" xfId="42" applyFont="1" applyBorder="1" applyAlignment="1" applyProtection="1">
      <alignment horizontal="right" vertical="center"/>
      <protection hidden="1"/>
    </xf>
    <xf numFmtId="38" fontId="21" fillId="0" borderId="10" xfId="42" applyFont="1" applyBorder="1" applyAlignment="1" applyProtection="1">
      <alignment horizontal="right" vertical="center"/>
      <protection hidden="1"/>
    </xf>
    <xf numFmtId="38" fontId="21" fillId="0" borderId="30" xfId="42" applyFont="1" applyBorder="1" applyAlignment="1" applyProtection="1">
      <alignment horizontal="right" vertical="center"/>
      <protection hidden="1"/>
    </xf>
    <xf numFmtId="0" fontId="19" fillId="0" borderId="17" xfId="0" applyFont="1" applyBorder="1" applyProtection="1">
      <alignment vertical="center"/>
      <protection hidden="1"/>
    </xf>
    <xf numFmtId="0" fontId="19" fillId="0" borderId="17" xfId="0" applyFont="1" applyBorder="1" applyAlignment="1" applyProtection="1">
      <alignment horizontal="center" vertical="center"/>
      <protection hidden="1"/>
    </xf>
    <xf numFmtId="0" fontId="26" fillId="0" borderId="42" xfId="0" applyFont="1" applyBorder="1" applyAlignment="1" applyProtection="1">
      <alignment horizontal="centerContinuous" vertical="center"/>
      <protection hidden="1"/>
    </xf>
    <xf numFmtId="0" fontId="29" fillId="0" borderId="0" xfId="0" applyFont="1" applyProtection="1">
      <alignment vertical="center"/>
      <protection hidden="1"/>
    </xf>
    <xf numFmtId="0" fontId="21" fillId="35" borderId="43" xfId="0" applyFont="1" applyFill="1" applyBorder="1" applyAlignment="1" applyProtection="1">
      <alignment horizontal="centerContinuous" vertical="center"/>
      <protection hidden="1"/>
    </xf>
    <xf numFmtId="0" fontId="21" fillId="35" borderId="24" xfId="0" applyFont="1" applyFill="1" applyBorder="1" applyAlignment="1" applyProtection="1">
      <alignment horizontal="center" vertical="center"/>
      <protection hidden="1"/>
    </xf>
    <xf numFmtId="0" fontId="21" fillId="0" borderId="29" xfId="0" applyFont="1" applyBorder="1" applyAlignment="1" applyProtection="1">
      <alignment horizontal="left" vertical="center"/>
      <protection locked="0" hidden="1"/>
    </xf>
    <xf numFmtId="0" fontId="21" fillId="0" borderId="18" xfId="0" applyFont="1" applyBorder="1" applyAlignment="1" applyProtection="1">
      <alignment horizontal="left" vertical="center"/>
      <protection locked="0" hidden="1"/>
    </xf>
    <xf numFmtId="0" fontId="21" fillId="0" borderId="44" xfId="0" applyFont="1" applyBorder="1" applyAlignment="1" applyProtection="1">
      <alignment horizontal="left" vertical="center"/>
      <protection locked="0" hidden="1"/>
    </xf>
    <xf numFmtId="0" fontId="30" fillId="0" borderId="0" xfId="0" applyFont="1" applyAlignment="1" applyProtection="1">
      <alignment horizontal="center" vertical="center"/>
      <protection hidden="1"/>
    </xf>
    <xf numFmtId="178" fontId="21" fillId="34" borderId="10" xfId="0" applyNumberFormat="1" applyFont="1" applyFill="1" applyBorder="1" applyAlignment="1" applyProtection="1">
      <alignment horizontal="center" vertical="center"/>
      <protection hidden="1"/>
    </xf>
    <xf numFmtId="0" fontId="21" fillId="33" borderId="10" xfId="0" applyFont="1" applyFill="1" applyBorder="1" applyAlignment="1" applyProtection="1">
      <alignment horizontal="center" vertical="center"/>
      <protection hidden="1"/>
    </xf>
    <xf numFmtId="178" fontId="21" fillId="33" borderId="11" xfId="0" applyNumberFormat="1" applyFont="1" applyFill="1" applyBorder="1" applyAlignment="1" applyProtection="1">
      <alignment horizontal="centerContinuous" vertical="center"/>
      <protection hidden="1"/>
    </xf>
    <xf numFmtId="178" fontId="19" fillId="0" borderId="11" xfId="0" applyNumberFormat="1" applyFont="1" applyBorder="1" applyAlignment="1" applyProtection="1">
      <alignment horizontal="center" vertical="center"/>
      <protection locked="0" hidden="1"/>
    </xf>
    <xf numFmtId="0" fontId="21" fillId="35" borderId="45" xfId="0" applyFont="1" applyFill="1" applyBorder="1" applyAlignment="1" applyProtection="1">
      <alignment horizontal="centerContinuous" vertical="center"/>
      <protection hidden="1"/>
    </xf>
    <xf numFmtId="0" fontId="21" fillId="35" borderId="46" xfId="0" applyFont="1" applyFill="1" applyBorder="1" applyAlignment="1" applyProtection="1">
      <alignment horizontal="center" vertical="center"/>
      <protection hidden="1"/>
    </xf>
    <xf numFmtId="178" fontId="19" fillId="0" borderId="11" xfId="0" applyNumberFormat="1" applyFont="1" applyBorder="1" applyAlignment="1" applyProtection="1">
      <alignment horizontal="center" vertical="center"/>
      <protection hidden="1"/>
    </xf>
    <xf numFmtId="0" fontId="19" fillId="0" borderId="11" xfId="0" applyFont="1" applyBorder="1" applyAlignment="1" applyProtection="1">
      <alignment horizontal="center" vertical="center" shrinkToFit="1"/>
      <protection locked="0" hidden="1"/>
    </xf>
    <xf numFmtId="0" fontId="19" fillId="0" borderId="10" xfId="0" applyFont="1" applyBorder="1" applyAlignment="1" applyProtection="1">
      <alignment horizontal="center" vertical="center"/>
      <protection locked="0" hidden="1"/>
    </xf>
    <xf numFmtId="0" fontId="21" fillId="35" borderId="31" xfId="0" applyFont="1" applyFill="1" applyBorder="1" applyAlignment="1" applyProtection="1">
      <alignment horizontal="centerContinuous" vertical="center"/>
      <protection hidden="1"/>
    </xf>
    <xf numFmtId="0" fontId="21" fillId="35" borderId="47" xfId="0" applyFont="1" applyFill="1" applyBorder="1" applyAlignment="1" applyProtection="1">
      <alignment horizontal="center" vertical="center"/>
      <protection hidden="1"/>
    </xf>
    <xf numFmtId="0" fontId="21" fillId="0" borderId="23" xfId="0" applyFont="1" applyBorder="1" applyAlignment="1" applyProtection="1">
      <alignment horizontal="left" vertical="center"/>
      <protection locked="0" hidden="1"/>
    </xf>
    <xf numFmtId="0" fontId="21" fillId="0" borderId="11" xfId="0" applyFont="1" applyBorder="1" applyAlignment="1" applyProtection="1">
      <alignment horizontal="left" vertical="center"/>
      <protection locked="0" hidden="1"/>
    </xf>
    <xf numFmtId="0" fontId="21" fillId="0" borderId="25" xfId="0" applyFont="1" applyBorder="1" applyAlignment="1" applyProtection="1">
      <alignment horizontal="left" vertical="center"/>
      <protection locked="0" hidden="1"/>
    </xf>
    <xf numFmtId="178" fontId="19" fillId="0" borderId="11" xfId="0" applyNumberFormat="1" applyFont="1" applyBorder="1" applyAlignment="1" applyProtection="1">
      <alignment horizontal="centerContinuous" vertical="center"/>
      <protection hidden="1"/>
    </xf>
    <xf numFmtId="0" fontId="19" fillId="0" borderId="11" xfId="0" applyFont="1" applyBorder="1" applyAlignment="1" applyProtection="1">
      <alignment horizontal="center" vertical="center" shrinkToFit="1"/>
      <protection hidden="1"/>
    </xf>
    <xf numFmtId="178" fontId="19" fillId="0" borderId="18" xfId="0" applyNumberFormat="1" applyFont="1" applyBorder="1" applyAlignment="1" applyProtection="1">
      <alignment horizontal="center" vertical="center"/>
      <protection hidden="1"/>
    </xf>
    <xf numFmtId="0" fontId="19" fillId="0" borderId="17" xfId="0" applyFont="1" applyBorder="1" applyAlignment="1" applyProtection="1">
      <alignment horizontal="center" vertical="center" shrinkToFit="1"/>
      <protection locked="0" hidden="1"/>
    </xf>
    <xf numFmtId="0" fontId="21" fillId="0" borderId="10" xfId="0" applyFont="1" applyBorder="1" applyProtection="1">
      <alignment vertical="center"/>
      <protection hidden="1"/>
    </xf>
    <xf numFmtId="0" fontId="21" fillId="35" borderId="48" xfId="0" applyFont="1" applyFill="1" applyBorder="1" applyAlignment="1" applyProtection="1">
      <alignment horizontal="centerContinuous" vertical="center"/>
      <protection hidden="1"/>
    </xf>
    <xf numFmtId="0" fontId="21" fillId="35" borderId="28" xfId="0" applyFont="1" applyFill="1" applyBorder="1" applyAlignment="1" applyProtection="1">
      <alignment horizontal="center" vertical="center"/>
      <protection hidden="1"/>
    </xf>
    <xf numFmtId="0" fontId="21" fillId="0" borderId="27" xfId="0" applyFont="1" applyBorder="1" applyAlignment="1" applyProtection="1">
      <alignment horizontal="left" vertical="center"/>
      <protection locked="0" hidden="1"/>
    </xf>
    <xf numFmtId="0" fontId="21" fillId="0" borderId="49" xfId="0" applyFont="1" applyBorder="1" applyAlignment="1" applyProtection="1">
      <alignment horizontal="left" vertical="center"/>
      <protection locked="0" hidden="1"/>
    </xf>
    <xf numFmtId="0" fontId="21" fillId="0" borderId="50" xfId="0" applyFont="1" applyBorder="1" applyAlignment="1" applyProtection="1">
      <alignment horizontal="left" vertical="center"/>
      <protection locked="0" hidden="1"/>
    </xf>
    <xf numFmtId="178" fontId="19" fillId="0" borderId="17" xfId="0" applyNumberFormat="1" applyFont="1" applyBorder="1" applyAlignment="1" applyProtection="1">
      <alignment horizontal="centerContinuous" vertical="center"/>
      <protection hidden="1"/>
    </xf>
    <xf numFmtId="0" fontId="21" fillId="0" borderId="0" xfId="0" applyFont="1" applyAlignment="1" applyProtection="1">
      <alignment horizontal="centerContinuous" vertical="center"/>
      <protection hidden="1"/>
    </xf>
    <xf numFmtId="0" fontId="19" fillId="0" borderId="17" xfId="0" applyFont="1" applyBorder="1" applyAlignment="1" applyProtection="1">
      <alignment horizontal="center" vertical="center" shrinkToFit="1"/>
      <protection hidden="1"/>
    </xf>
    <xf numFmtId="178" fontId="19" fillId="0" borderId="17" xfId="0" applyNumberFormat="1" applyFont="1" applyBorder="1" applyAlignment="1" applyProtection="1">
      <alignment horizontal="center" vertical="center"/>
      <protection hidden="1"/>
    </xf>
    <xf numFmtId="0" fontId="31" fillId="0" borderId="0" xfId="0" applyFont="1" applyProtection="1">
      <alignment vertical="center"/>
      <protection hidden="1"/>
    </xf>
    <xf numFmtId="0" fontId="19" fillId="33" borderId="11" xfId="0" applyFont="1" applyFill="1" applyBorder="1" applyAlignment="1" applyProtection="1">
      <alignment horizontal="center" vertical="center"/>
      <protection hidden="1"/>
    </xf>
    <xf numFmtId="178" fontId="19" fillId="33" borderId="11" xfId="0" applyNumberFormat="1" applyFont="1" applyFill="1" applyBorder="1" applyAlignment="1">
      <alignment horizontal="center" vertical="center"/>
    </xf>
    <xf numFmtId="0" fontId="21" fillId="0" borderId="10" xfId="0" applyFont="1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vertical="center" wrapText="1"/>
      <protection hidden="1"/>
    </xf>
    <xf numFmtId="0" fontId="19" fillId="0" borderId="10" xfId="0" applyFont="1" applyBorder="1" applyProtection="1">
      <alignment vertical="center"/>
      <protection hidden="1"/>
    </xf>
    <xf numFmtId="0" fontId="32" fillId="0" borderId="10" xfId="0" applyFont="1" applyBorder="1" applyProtection="1">
      <alignment vertical="center"/>
      <protection hidden="1"/>
    </xf>
    <xf numFmtId="38" fontId="21" fillId="0" borderId="0" xfId="42" applyFont="1" applyBorder="1" applyAlignment="1" applyProtection="1">
      <alignment horizontal="right" vertical="center"/>
      <protection hidden="1"/>
    </xf>
    <xf numFmtId="0" fontId="20" fillId="0" borderId="0" xfId="0" applyFont="1" applyBorder="1" applyProtection="1">
      <alignment vertical="center"/>
      <protection hidden="1"/>
    </xf>
    <xf numFmtId="0" fontId="32" fillId="0" borderId="0" xfId="0" applyFont="1" applyBorder="1" applyProtection="1">
      <alignment vertical="center"/>
      <protection hidden="1"/>
    </xf>
    <xf numFmtId="176" fontId="19" fillId="0" borderId="11" xfId="0" applyNumberFormat="1" applyFont="1" applyBorder="1" applyAlignment="1" applyProtection="1">
      <alignment horizontal="center" vertical="center"/>
      <protection locked="0" hidden="1"/>
    </xf>
    <xf numFmtId="176" fontId="19" fillId="0" borderId="51" xfId="0" applyNumberFormat="1" applyFont="1" applyBorder="1" applyProtection="1">
      <alignment vertical="center"/>
      <protection locked="0" hidden="1"/>
    </xf>
    <xf numFmtId="178" fontId="33" fillId="0" borderId="11" xfId="0" applyNumberFormat="1" applyFont="1" applyBorder="1" applyAlignment="1" applyProtection="1">
      <alignment horizontal="center" vertical="center"/>
      <protection locked="0" hidden="1"/>
    </xf>
    <xf numFmtId="176" fontId="21" fillId="0" borderId="10" xfId="0" applyNumberFormat="1" applyFont="1" applyFill="1" applyBorder="1" applyAlignment="1" applyProtection="1">
      <alignment horizontal="center" vertical="center" wrapText="1"/>
      <protection hidden="1"/>
    </xf>
    <xf numFmtId="176" fontId="19" fillId="0" borderId="10" xfId="0" applyNumberFormat="1" applyFont="1" applyFill="1" applyBorder="1" applyProtection="1">
      <alignment vertical="center"/>
      <protection hidden="1"/>
    </xf>
    <xf numFmtId="176" fontId="22" fillId="0" borderId="0" xfId="0" applyNumberFormat="1" applyFont="1" applyProtection="1">
      <alignment vertical="center"/>
      <protection hidden="1"/>
    </xf>
    <xf numFmtId="176" fontId="21" fillId="0" borderId="0" xfId="0" applyNumberFormat="1" applyFont="1" applyProtection="1">
      <alignment vertical="center"/>
      <protection hidden="1"/>
    </xf>
    <xf numFmtId="176" fontId="19" fillId="0" borderId="17" xfId="0" applyNumberFormat="1" applyFont="1" applyBorder="1" applyAlignment="1" applyProtection="1">
      <alignment horizontal="center" vertical="center"/>
      <protection locked="0" hidden="1"/>
    </xf>
    <xf numFmtId="0" fontId="19" fillId="0" borderId="10" xfId="0" applyFont="1" applyBorder="1" applyProtection="1">
      <alignment vertical="center"/>
      <protection locked="0" hidden="1"/>
    </xf>
    <xf numFmtId="178" fontId="33" fillId="0" borderId="17" xfId="0" applyNumberFormat="1" applyFont="1" applyBorder="1" applyAlignment="1" applyProtection="1">
      <alignment horizontal="center" vertical="center"/>
      <protection locked="0" hidden="1"/>
    </xf>
    <xf numFmtId="176" fontId="21" fillId="0" borderId="10" xfId="0" applyNumberFormat="1" applyFont="1" applyBorder="1" applyAlignment="1" applyProtection="1">
      <alignment horizontal="center" vertical="center"/>
      <protection hidden="1"/>
    </xf>
    <xf numFmtId="178" fontId="33" fillId="0" borderId="52" xfId="0" applyNumberFormat="1" applyFont="1" applyBorder="1" applyAlignment="1" applyProtection="1">
      <alignment horizontal="center" vertical="center"/>
      <protection locked="0" hidden="1"/>
    </xf>
    <xf numFmtId="176" fontId="21" fillId="0" borderId="0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 applyBorder="1" applyProtection="1">
      <alignment vertical="center"/>
      <protection hidden="1"/>
    </xf>
    <xf numFmtId="178" fontId="33" fillId="0" borderId="29" xfId="0" applyNumberFormat="1" applyFont="1" applyBorder="1" applyAlignment="1" applyProtection="1">
      <alignment horizontal="center" vertical="center"/>
      <protection locked="0" hidden="1"/>
    </xf>
    <xf numFmtId="55" fontId="19" fillId="0" borderId="10" xfId="0" applyNumberFormat="1" applyFont="1" applyBorder="1" applyProtection="1">
      <alignment vertical="center"/>
      <protection hidden="1"/>
    </xf>
    <xf numFmtId="49" fontId="19" fillId="0" borderId="10" xfId="0" applyNumberFormat="1" applyFont="1" applyBorder="1" applyAlignment="1" applyProtection="1">
      <alignment horizontal="center" vertical="center"/>
      <protection hidden="1"/>
    </xf>
    <xf numFmtId="55" fontId="19" fillId="0" borderId="11" xfId="0" applyNumberFormat="1" applyFont="1" applyBorder="1" applyAlignment="1" applyProtection="1">
      <alignment horizontal="center" vertical="center"/>
      <protection hidden="1"/>
    </xf>
    <xf numFmtId="49" fontId="19" fillId="0" borderId="10" xfId="0" applyNumberFormat="1" applyFont="1" applyBorder="1" applyProtection="1">
      <alignment vertical="center"/>
      <protection hidden="1"/>
    </xf>
    <xf numFmtId="0" fontId="19" fillId="0" borderId="10" xfId="0" applyFont="1" applyBorder="1" applyAlignment="1" applyProtection="1">
      <alignment horizontal="right" vertical="center"/>
      <protection hidden="1"/>
    </xf>
    <xf numFmtId="0" fontId="19" fillId="36" borderId="10" xfId="0" applyFont="1" applyFill="1" applyBorder="1" applyAlignment="1" applyProtection="1">
      <alignment horizontal="right" vertical="center"/>
      <protection hidden="1"/>
    </xf>
    <xf numFmtId="178" fontId="19" fillId="0" borderId="0" xfId="0" applyNumberFormat="1" applyFont="1" applyProtection="1">
      <alignment vertical="center"/>
      <protection hidden="1"/>
    </xf>
    <xf numFmtId="178" fontId="19" fillId="0" borderId="11" xfId="0" applyNumberFormat="1" applyFont="1" applyBorder="1" applyProtection="1">
      <alignment vertical="center"/>
      <protection hidden="1"/>
    </xf>
    <xf numFmtId="178" fontId="19" fillId="0" borderId="17" xfId="0" applyNumberFormat="1" applyFont="1" applyBorder="1" applyProtection="1">
      <alignment vertical="center"/>
      <protection hidden="1"/>
    </xf>
    <xf numFmtId="0" fontId="20" fillId="0" borderId="10" xfId="0" applyFont="1" applyBorder="1" applyAlignment="1" applyProtection="1">
      <alignment horizontal="center" vertical="center" shrinkToFit="1"/>
      <protection hidden="1"/>
    </xf>
    <xf numFmtId="0" fontId="19" fillId="0" borderId="11" xfId="0" applyFont="1" applyBorder="1" applyAlignment="1" applyProtection="1">
      <alignment horizontal="center" vertical="center"/>
      <protection hidden="1"/>
    </xf>
    <xf numFmtId="0" fontId="34" fillId="0" borderId="10" xfId="0" applyFont="1" applyBorder="1" applyProtection="1">
      <alignment vertical="center"/>
      <protection hidden="1"/>
    </xf>
    <xf numFmtId="176" fontId="19" fillId="0" borderId="0" xfId="0" applyNumberFormat="1" applyFont="1" applyBorder="1" applyProtection="1">
      <alignment vertical="center"/>
      <protection hidden="1"/>
    </xf>
    <xf numFmtId="9" fontId="20" fillId="0" borderId="0" xfId="43" applyFont="1" applyBorder="1" applyProtection="1">
      <alignment vertical="center"/>
      <protection hidden="1"/>
    </xf>
    <xf numFmtId="176" fontId="26" fillId="0" borderId="10" xfId="0" applyNumberFormat="1" applyFont="1" applyBorder="1" applyAlignment="1" applyProtection="1">
      <alignment horizontal="centerContinuous" vertical="center"/>
      <protection hidden="1"/>
    </xf>
    <xf numFmtId="176" fontId="22" fillId="0" borderId="10" xfId="0" applyNumberFormat="1" applyFont="1" applyBorder="1" applyAlignment="1" applyProtection="1">
      <alignment horizontal="center" vertical="center"/>
      <protection hidden="1"/>
    </xf>
    <xf numFmtId="0" fontId="22" fillId="0" borderId="10" xfId="0" applyFont="1" applyBorder="1" applyAlignment="1" applyProtection="1">
      <alignment horizontal="center" vertical="center"/>
      <protection hidden="1"/>
    </xf>
  </cellXfs>
  <cellStyles count="44">
    <cellStyle name="20% - アクセント 1 2" xfId="1"/>
    <cellStyle name="20% - アクセント 2 2" xfId="2"/>
    <cellStyle name="20% - アクセント 3 2" xfId="3"/>
    <cellStyle name="20% - アクセント 4 2" xfId="4"/>
    <cellStyle name="20% - アクセント 5 2" xfId="5"/>
    <cellStyle name="20% - アクセント 6 2" xfId="6"/>
    <cellStyle name="40% - アクセント 1 2" xfId="7"/>
    <cellStyle name="40% - アクセント 2 2" xfId="8"/>
    <cellStyle name="40% - アクセント 3 2" xfId="9"/>
    <cellStyle name="40% - アクセント 4 2" xfId="10"/>
    <cellStyle name="40% - アクセント 5 2" xfId="11"/>
    <cellStyle name="40% - アクセント 6 2" xfId="12"/>
    <cellStyle name="60% - アクセント 1 2" xfId="13"/>
    <cellStyle name="60% - アクセント 2 2" xfId="14"/>
    <cellStyle name="60% - アクセント 3 2" xfId="15"/>
    <cellStyle name="60% - アクセント 4 2" xfId="16"/>
    <cellStyle name="60% - アクセント 5 2" xfId="17"/>
    <cellStyle name="60% - アクセント 6 2" xfId="18"/>
    <cellStyle name="どちらでもない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メモ 2" xfId="28"/>
    <cellStyle name="リンク セル" xfId="29" builtinId="24" customBuiltin="1"/>
    <cellStyle name="入力 2" xfId="30"/>
    <cellStyle name="出力 2" xfId="31"/>
    <cellStyle name="悪い 2" xfId="32"/>
    <cellStyle name="標準" xfId="0" builtinId="0"/>
    <cellStyle name="良い 2" xfId="33"/>
    <cellStyle name="見出し 1" xfId="34" builtinId="16" customBuiltin="1"/>
    <cellStyle name="見出し 2 2" xfId="35"/>
    <cellStyle name="見出し 3" xfId="36" builtinId="18" customBuiltin="1"/>
    <cellStyle name="見出し 4" xfId="37" builtinId="19" customBuiltin="1"/>
    <cellStyle name="計算 2" xfId="38"/>
    <cellStyle name="説明文" xfId="39" builtinId="53" customBuiltin="1"/>
    <cellStyle name="警告文 2" xfId="40"/>
    <cellStyle name="集計 2" xfId="41"/>
    <cellStyle name="桁区切り" xfId="42" builtinId="6"/>
    <cellStyle name="パーセント" xfId="43" builtinId="5"/>
  </cellStyles>
  <dxfs count="11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/>
        <right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2.xml" /><Relationship Id="rId3" Type="http://schemas.openxmlformats.org/officeDocument/2006/relationships/customXml" Target="../customXml/item1.xml" /><Relationship Id="rId4" Type="http://schemas.openxmlformats.org/officeDocument/2006/relationships/customXml" Target="../customXml/item4.xml" /><Relationship Id="rId5" Type="http://schemas.openxmlformats.org/officeDocument/2006/relationships/customXml" Target="../customXml/item3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>
    <tabColor rgb="FF00B0F0"/>
  </sheetPr>
  <dimension ref="A2:AR69"/>
  <sheetViews>
    <sheetView showGridLines="0" tabSelected="1" view="pageBreakPreview" zoomScaleNormal="80" zoomScaleSheetLayoutView="100" workbookViewId="0">
      <selection activeCell="D75" sqref="D75"/>
    </sheetView>
  </sheetViews>
  <sheetFormatPr defaultRowHeight="13.5"/>
  <cols>
    <col min="1" max="1" width="2.5" style="1" customWidth="1"/>
    <col min="2" max="2" width="11.875" style="1" customWidth="1"/>
    <col min="3" max="5" width="16.625" style="1" customWidth="1"/>
    <col min="6" max="6" width="10.125" style="1" customWidth="1"/>
    <col min="7" max="7" width="7.25" style="1" customWidth="1"/>
    <col min="8" max="8" width="5.25" style="1" customWidth="1"/>
    <col min="9" max="9" width="10.875" style="1" customWidth="1"/>
    <col min="10" max="10" width="14.75" style="1" customWidth="1"/>
    <col min="11" max="11" width="5.375" style="1" customWidth="1"/>
    <col min="12" max="12" width="10.25" style="1" customWidth="1"/>
    <col min="13" max="13" width="11.375" style="1" customWidth="1"/>
    <col min="14" max="14" width="11.375" style="2" customWidth="1"/>
    <col min="15" max="15" width="3" style="1" customWidth="1"/>
    <col min="16" max="16" width="30.75" style="1" customWidth="1"/>
    <col min="17" max="17" width="10.125" style="3" customWidth="1"/>
    <col min="18" max="18" width="11.125" style="1" customWidth="1"/>
    <col min="19" max="19" width="5.125" style="1" customWidth="1"/>
    <col min="20" max="20" width="7.5" style="1" hidden="1" customWidth="1"/>
    <col min="21" max="23" width="5.5" style="1" hidden="1" customWidth="1"/>
    <col min="24" max="24" width="9.5" style="1" hidden="1" customWidth="1"/>
    <col min="25" max="26" width="5.5" style="1" hidden="1" customWidth="1"/>
    <col min="27" max="29" width="7.5" style="1" hidden="1" customWidth="1"/>
    <col min="30" max="30" width="11.625" style="1" hidden="1" customWidth="1"/>
    <col min="31" max="32" width="5.5" style="1" hidden="1" customWidth="1"/>
    <col min="33" max="33" width="11.875" style="1" hidden="1" customWidth="1"/>
    <col min="34" max="34" width="7.5" style="1" hidden="1" customWidth="1"/>
    <col min="35" max="35" width="40.125" style="1" hidden="1" customWidth="1"/>
    <col min="36" max="37" width="8.5" style="1" hidden="1" customWidth="1"/>
    <col min="38" max="38" width="6.75" style="1" hidden="1" customWidth="1"/>
    <col min="39" max="40" width="8.5" style="1" hidden="1" customWidth="1"/>
    <col min="41" max="41" width="5.5" style="1" hidden="1" customWidth="1"/>
    <col min="42" max="42" width="9" style="1" hidden="1" customWidth="1"/>
    <col min="43" max="44" width="10.125" style="1" hidden="1" customWidth="1"/>
    <col min="45" max="16384" width="9" style="1" customWidth="1"/>
  </cols>
  <sheetData>
    <row r="1" spans="2:44" ht="20.100000000000001" customHeight="1"/>
    <row r="2" spans="2:44" ht="24" customHeight="1">
      <c r="B2" s="7"/>
      <c r="C2" s="7"/>
      <c r="L2" s="89" t="s">
        <v>15</v>
      </c>
      <c r="M2" s="92"/>
      <c r="N2" s="47"/>
      <c r="P2" s="118" t="s">
        <v>129</v>
      </c>
      <c r="Q2" s="127" t="s">
        <v>117</v>
      </c>
      <c r="R2" s="134"/>
      <c r="AI2" s="74" t="s">
        <v>128</v>
      </c>
      <c r="AK2" s="153" t="s">
        <v>106</v>
      </c>
      <c r="AL2" s="153" t="s">
        <v>107</v>
      </c>
    </row>
    <row r="3" spans="2:44" ht="24" customHeight="1">
      <c r="B3" s="8" t="str">
        <f>IF(Q4="毎月通知・毎月精算","消防団員・水防団員の災害救助活動従事中補償特約　通知明細書","消防団員・水防団員の災害救助活動従事中補償特約　（保険料一括精算方式）　通知明細書")</f>
        <v>消防団員・水防団員の災害救助活動従事中補償特約　通知明細書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P3" s="118" t="s">
        <v>27</v>
      </c>
      <c r="Q3" s="128">
        <v>0</v>
      </c>
      <c r="R3" s="135" t="s">
        <v>116</v>
      </c>
      <c r="AI3" s="151" t="str">
        <f>VLOOKUP(M5&amp;N5,AG6:AH18,2,FALSE)</f>
        <v>1回目</v>
      </c>
      <c r="AK3" s="120">
        <f>VALUE(LEFT(N7,IF(LEN(N7)=2,1,2)))</f>
        <v>1</v>
      </c>
      <c r="AL3" s="120">
        <f>VALUE(IF(M8="末日","31",LEFT(M8,IF(LEN(M8)=3,2,1))))</f>
        <v>31</v>
      </c>
      <c r="AP3" s="50"/>
      <c r="AQ3" s="155">
        <f>IFERROR(IF(AND(R3="％割増",Q3&gt;0),1+Q3/100,IF(AND(R3="％割引",Q3&gt;0),1+Q3*-0.01,1)),1)</f>
        <v>1</v>
      </c>
    </row>
    <row r="4" spans="2:44" ht="24" customHeight="1">
      <c r="B4" s="9"/>
      <c r="N4" s="1"/>
      <c r="P4" s="119" t="s">
        <v>48</v>
      </c>
      <c r="Q4" s="129" t="s">
        <v>69</v>
      </c>
      <c r="R4" s="136"/>
      <c r="S4" s="138"/>
      <c r="T4" s="141"/>
      <c r="U4" s="141"/>
      <c r="AQ4" s="156" t="s">
        <v>115</v>
      </c>
      <c r="AR4" s="156"/>
    </row>
    <row r="5" spans="2:44" ht="20.100000000000001" customHeight="1">
      <c r="B5" s="10" t="s">
        <v>6</v>
      </c>
      <c r="C5" s="23"/>
      <c r="D5" s="36" t="s">
        <v>134</v>
      </c>
      <c r="E5" s="46"/>
      <c r="F5" s="46"/>
      <c r="G5" s="46"/>
      <c r="H5" s="46"/>
      <c r="I5" s="46"/>
      <c r="J5" s="73"/>
      <c r="K5" s="4"/>
      <c r="L5" s="90" t="s">
        <v>14</v>
      </c>
      <c r="M5" s="96" t="s">
        <v>21</v>
      </c>
      <c r="N5" s="106" t="s">
        <v>56</v>
      </c>
      <c r="S5" s="139"/>
      <c r="T5" s="74" t="s">
        <v>25</v>
      </c>
      <c r="U5" s="143" t="s">
        <v>29</v>
      </c>
      <c r="V5" s="74" t="s">
        <v>3</v>
      </c>
      <c r="W5" s="143" t="s">
        <v>31</v>
      </c>
      <c r="X5" s="143" t="s">
        <v>33</v>
      </c>
      <c r="Y5" s="74" t="s">
        <v>32</v>
      </c>
      <c r="Z5" s="74"/>
      <c r="AA5" s="74" t="s">
        <v>41</v>
      </c>
      <c r="AB5" s="74" t="s">
        <v>41</v>
      </c>
      <c r="AC5" s="74" t="s">
        <v>41</v>
      </c>
      <c r="AE5" s="12"/>
      <c r="AF5" s="79"/>
      <c r="AG5" s="122"/>
      <c r="AH5" s="122"/>
      <c r="AI5" s="122"/>
      <c r="AJ5" s="152" t="s">
        <v>25</v>
      </c>
      <c r="AK5" s="57" t="s">
        <v>51</v>
      </c>
      <c r="AL5" s="80" t="s">
        <v>32</v>
      </c>
      <c r="AM5" s="152" t="s">
        <v>25</v>
      </c>
      <c r="AN5" s="57" t="s">
        <v>51</v>
      </c>
      <c r="AO5" s="80" t="s">
        <v>32</v>
      </c>
      <c r="AP5" s="139"/>
      <c r="AQ5" s="157" t="s">
        <v>117</v>
      </c>
      <c r="AR5" s="158" t="s">
        <v>114</v>
      </c>
    </row>
    <row r="6" spans="2:44" ht="20.100000000000001" customHeight="1">
      <c r="B6" s="11" t="s">
        <v>4</v>
      </c>
      <c r="C6" s="24"/>
      <c r="D6" s="36" t="s">
        <v>135</v>
      </c>
      <c r="E6" s="46"/>
      <c r="F6" s="46"/>
      <c r="G6" s="46"/>
      <c r="H6" s="46"/>
      <c r="I6" s="46"/>
      <c r="J6" s="73"/>
      <c r="K6" s="4"/>
      <c r="L6" s="91" t="s">
        <v>93</v>
      </c>
      <c r="M6" s="25"/>
      <c r="N6" s="24"/>
      <c r="P6" s="120" t="s">
        <v>28</v>
      </c>
      <c r="Q6" s="130" t="s">
        <v>132</v>
      </c>
      <c r="R6" s="137" t="s">
        <v>2</v>
      </c>
      <c r="T6" s="142" t="s">
        <v>21</v>
      </c>
      <c r="U6" s="144"/>
      <c r="V6" s="122" t="s">
        <v>12</v>
      </c>
      <c r="W6" s="145" t="s">
        <v>61</v>
      </c>
      <c r="X6" s="145" t="s">
        <v>61</v>
      </c>
      <c r="Y6" s="146" t="s">
        <v>5</v>
      </c>
      <c r="Z6" s="146" t="s">
        <v>65</v>
      </c>
      <c r="AA6" s="147" t="str">
        <f>VLOOKUP(N5,V6:W17,2,FALSE)</f>
        <v>30日</v>
      </c>
      <c r="AB6" s="122" t="s">
        <v>53</v>
      </c>
      <c r="AC6" s="142" t="s">
        <v>42</v>
      </c>
      <c r="AD6" s="148"/>
      <c r="AE6" s="149" t="str">
        <f>L7</f>
        <v>2023年</v>
      </c>
      <c r="AF6" s="150" t="str">
        <f>M7</f>
        <v>4月</v>
      </c>
      <c r="AG6" s="122" t="str">
        <f t="shared" ref="AG6:AG17" si="0">AE6&amp;AF6</f>
        <v>2023年4月</v>
      </c>
      <c r="AH6" s="122" t="s">
        <v>95</v>
      </c>
      <c r="AI6" s="122" t="str">
        <f t="shared" ref="AI6:AI17" si="1">CONCATENATE("（",AJ6&amp;AK6,AL6,"～",AM6,AN6,AO6,")分")</f>
        <v>（2023年4月1日～2023年4月30日)分</v>
      </c>
      <c r="AJ6" s="149" t="str">
        <f>L7</f>
        <v>2023年</v>
      </c>
      <c r="AK6" s="105" t="str">
        <f>M7</f>
        <v>4月</v>
      </c>
      <c r="AL6" s="150" t="str">
        <f>N7</f>
        <v>1日</v>
      </c>
      <c r="AM6" s="12" t="str">
        <f>IF(AND(AK6="12月",$M$8&lt;&gt;"末日"),VLOOKUP(AJ6,$T$6:$AC$17,10,FALSE),AJ6)</f>
        <v>2023年</v>
      </c>
      <c r="AN6" s="51" t="str">
        <f>IF(M8="末日",AK6,IF($AK$3&lt;$AL$3,AK6,VLOOKUP(AK6,$V$6:$AB$17,7,FALSE)))</f>
        <v>4月</v>
      </c>
      <c r="AO6" s="79" t="str">
        <f>IF($M$8="末日",VLOOKUP(AN6,$V$6:$X$17,IF(VLOOKUP(AM6,$T$6:$U$17,2,FALSE)="○",3,2),FALSE),M8)</f>
        <v>30日</v>
      </c>
      <c r="AP6" s="3"/>
      <c r="AQ6" s="122">
        <v>1700</v>
      </c>
      <c r="AR6" s="122">
        <v>1200</v>
      </c>
    </row>
    <row r="7" spans="2:44" s="4" customFormat="1" ht="20.100000000000001" customHeight="1">
      <c r="B7" s="11" t="s">
        <v>11</v>
      </c>
      <c r="C7" s="25"/>
      <c r="D7" s="37"/>
      <c r="E7" s="37"/>
      <c r="F7" s="37"/>
      <c r="G7" s="37"/>
      <c r="H7" s="25"/>
      <c r="I7" s="25"/>
      <c r="J7" s="24"/>
      <c r="K7" s="67"/>
      <c r="L7" s="92" t="s">
        <v>21</v>
      </c>
      <c r="M7" s="38" t="s">
        <v>56</v>
      </c>
      <c r="N7" s="47" t="s">
        <v>5</v>
      </c>
      <c r="P7" s="121" t="s">
        <v>118</v>
      </c>
      <c r="Q7" s="131">
        <f t="shared" ref="Q7:Q19" si="2">IFERROR(IF($Q$2=$AQ$5,ROUND(AQ6*$AQ$3,-1),IF($Q$2=$AR$5,ROUND(AR6*$AQ$3,-1),"")),"")</f>
        <v>1700</v>
      </c>
      <c r="R7" s="122">
        <f t="shared" ref="R7:R19" si="3">COUNTIF($D$12:$D$66,P7)</f>
        <v>0</v>
      </c>
      <c r="S7" s="50"/>
      <c r="T7" s="142" t="s">
        <v>42</v>
      </c>
      <c r="U7" s="144"/>
      <c r="V7" s="122" t="s">
        <v>53</v>
      </c>
      <c r="W7" s="145" t="s">
        <v>63</v>
      </c>
      <c r="X7" s="145" t="s">
        <v>64</v>
      </c>
      <c r="Y7" s="146" t="s">
        <v>65</v>
      </c>
      <c r="Z7" s="146" t="s">
        <v>66</v>
      </c>
      <c r="AA7" s="146" t="s">
        <v>5</v>
      </c>
      <c r="AB7" s="122" t="s">
        <v>55</v>
      </c>
      <c r="AC7" s="142" t="s">
        <v>43</v>
      </c>
      <c r="AE7" s="12" t="str">
        <f t="shared" ref="AE7:AE17" si="4">IF(AF6="12月",VLOOKUP(AE6,$T$6:$AC$17,10,FALSE),AE6)</f>
        <v>2023年</v>
      </c>
      <c r="AF7" s="79" t="str">
        <f t="shared" ref="AF7:AF17" si="5">VLOOKUP(AF6,$V$6:$AB$17,7,FALSE)</f>
        <v>5月</v>
      </c>
      <c r="AG7" s="122" t="str">
        <f t="shared" si="0"/>
        <v>2023年5月</v>
      </c>
      <c r="AH7" s="122" t="s">
        <v>96</v>
      </c>
      <c r="AI7" s="122" t="str">
        <f t="shared" si="1"/>
        <v>（2023年5月1日～2023年5月31日)分</v>
      </c>
      <c r="AJ7" s="12" t="str">
        <f t="shared" ref="AJ7:AJ17" si="6">IF(AND(AJ6=$L$7,AK6="12月"),VLOOKUP($L$7,$T$6:$AC$17,10,FALSE),AJ6)</f>
        <v>2023年</v>
      </c>
      <c r="AK7" s="57" t="str">
        <f>IF(M8="末日",VLOOKUP($AK6,$V$6:$AB$17,7,FALSE),IF(AK3&lt;AL3,AK6,VLOOKUP($AK6,$V$6:$AB$17,7,FALSE)))</f>
        <v>5月</v>
      </c>
      <c r="AL7" s="79" t="str">
        <f>IF($M$8="末日","1日",VLOOKUP(AO6,Y6:Z37,2,FALSE))</f>
        <v>1日</v>
      </c>
      <c r="AM7" s="12" t="str">
        <f>IF(AND(AK7="12月",$M$8&lt;&gt;"末日"),VLOOKUP(AJ7,$T$6:$AC$17,10,FALSE),AJ8)</f>
        <v>2023年</v>
      </c>
      <c r="AN7" s="51" t="str">
        <f t="shared" ref="AN7:AN17" si="7">IF($M$8="末日",AK7,VLOOKUP(AK7,$V$6:$AB$17,7,FALSE))</f>
        <v>5月</v>
      </c>
      <c r="AO7" s="79" t="str">
        <f t="shared" ref="AO7:AO17" si="8">IF($M$8="末日",VLOOKUP(AN7,$V$6:$X$17,IF(VLOOKUP(AM7,$T$6:$U$17,2,FALSE)="○",3,2),FALSE),VLOOKUP(AL7,$Y$6:$AA$37,3,FALSE))</f>
        <v>31日</v>
      </c>
      <c r="AP7" s="3"/>
      <c r="AQ7" s="122">
        <v>1500</v>
      </c>
      <c r="AR7" s="122">
        <v>850</v>
      </c>
    </row>
    <row r="8" spans="2:44" s="4" customFormat="1" ht="20.100000000000001" customHeight="1">
      <c r="B8" s="12"/>
      <c r="C8" s="26" t="s">
        <v>21</v>
      </c>
      <c r="D8" s="38" t="s">
        <v>56</v>
      </c>
      <c r="E8" s="47" t="s">
        <v>5</v>
      </c>
      <c r="F8" s="52" t="str">
        <f>IFERROR(VLOOKUP(AI3,AH6:AI18,2,FALSE),"（　年　月　日～　年　月　日分）")</f>
        <v>（2023年4月1日～2023年4月30日)分</v>
      </c>
      <c r="G8" s="58"/>
      <c r="H8" s="66"/>
      <c r="I8" s="68"/>
      <c r="J8" s="74" t="str">
        <f>IFERROR(VLOOKUP(M5&amp;N5,AG6:AH18,2,FALSE),"")</f>
        <v>1回目</v>
      </c>
      <c r="K8" s="82"/>
      <c r="L8" s="89" t="s">
        <v>7</v>
      </c>
      <c r="M8" s="97" t="s">
        <v>9</v>
      </c>
      <c r="N8" s="107"/>
      <c r="P8" s="122" t="s">
        <v>119</v>
      </c>
      <c r="Q8" s="131">
        <f t="shared" si="2"/>
        <v>1500</v>
      </c>
      <c r="R8" s="122">
        <f t="shared" si="3"/>
        <v>0</v>
      </c>
      <c r="S8" s="50"/>
      <c r="T8" s="142" t="s">
        <v>43</v>
      </c>
      <c r="U8" s="144" t="s">
        <v>34</v>
      </c>
      <c r="V8" s="122" t="s">
        <v>55</v>
      </c>
      <c r="W8" s="145" t="s">
        <v>61</v>
      </c>
      <c r="X8" s="145" t="s">
        <v>61</v>
      </c>
      <c r="Y8" s="146" t="s">
        <v>66</v>
      </c>
      <c r="Z8" s="146" t="s">
        <v>67</v>
      </c>
      <c r="AA8" s="146" t="s">
        <v>65</v>
      </c>
      <c r="AB8" s="122" t="s">
        <v>56</v>
      </c>
      <c r="AC8" s="142" t="s">
        <v>44</v>
      </c>
      <c r="AE8" s="12" t="str">
        <f t="shared" si="4"/>
        <v>2023年</v>
      </c>
      <c r="AF8" s="79" t="str">
        <f t="shared" si="5"/>
        <v>6月</v>
      </c>
      <c r="AG8" s="122" t="str">
        <f t="shared" si="0"/>
        <v>2023年6月</v>
      </c>
      <c r="AH8" s="122" t="s">
        <v>97</v>
      </c>
      <c r="AI8" s="122" t="str">
        <f t="shared" si="1"/>
        <v>（2023年6月1日～2023年6月30日)分</v>
      </c>
      <c r="AJ8" s="12" t="str">
        <f t="shared" si="6"/>
        <v>2023年</v>
      </c>
      <c r="AK8" s="57" t="str">
        <f t="shared" ref="AK8:AK17" si="9">VLOOKUP($AK7,$V$6:$AB$17,7,FALSE)</f>
        <v>6月</v>
      </c>
      <c r="AL8" s="79" t="str">
        <f t="shared" ref="AL8:AL17" si="10">IF($M$8="末日","1日",AL7)</f>
        <v>1日</v>
      </c>
      <c r="AM8" s="12" t="str">
        <f t="shared" ref="AM8:AM18" si="11">IF(AND(AK8="12月",$M$8&lt;&gt;"末日"),VLOOKUP(AJ8,$T$6:$AC$17,10,FALSE),AJ8)</f>
        <v>2023年</v>
      </c>
      <c r="AN8" s="51" t="str">
        <f t="shared" si="7"/>
        <v>6月</v>
      </c>
      <c r="AO8" s="79" t="str">
        <f t="shared" si="8"/>
        <v>30日</v>
      </c>
      <c r="AP8" s="3"/>
      <c r="AQ8" s="122">
        <v>1200</v>
      </c>
      <c r="AR8" s="122">
        <v>850</v>
      </c>
    </row>
    <row r="9" spans="2:44" s="4" customFormat="1" ht="20.100000000000001" customHeight="1">
      <c r="B9" s="13"/>
      <c r="D9" s="6"/>
      <c r="E9" s="6"/>
      <c r="F9" s="6"/>
      <c r="G9" s="1"/>
      <c r="H9" s="67"/>
      <c r="I9" s="67"/>
      <c r="J9" s="67"/>
      <c r="K9" s="67"/>
      <c r="L9" s="1"/>
      <c r="M9" s="1"/>
      <c r="N9" s="1"/>
      <c r="P9" s="122" t="s">
        <v>120</v>
      </c>
      <c r="Q9" s="131">
        <f t="shared" si="2"/>
        <v>1200</v>
      </c>
      <c r="R9" s="122">
        <f t="shared" si="3"/>
        <v>0</v>
      </c>
      <c r="S9" s="50"/>
      <c r="T9" s="142" t="s">
        <v>44</v>
      </c>
      <c r="U9" s="144"/>
      <c r="V9" s="122" t="s">
        <v>56</v>
      </c>
      <c r="W9" s="145" t="s">
        <v>62</v>
      </c>
      <c r="X9" s="145" t="s">
        <v>62</v>
      </c>
      <c r="Y9" s="146" t="s">
        <v>67</v>
      </c>
      <c r="Z9" s="146" t="s">
        <v>68</v>
      </c>
      <c r="AA9" s="146" t="s">
        <v>66</v>
      </c>
      <c r="AB9" s="122" t="s">
        <v>37</v>
      </c>
      <c r="AC9" s="142" t="s">
        <v>45</v>
      </c>
      <c r="AE9" s="12" t="str">
        <f t="shared" si="4"/>
        <v>2023年</v>
      </c>
      <c r="AF9" s="79" t="str">
        <f t="shared" si="5"/>
        <v>7月</v>
      </c>
      <c r="AG9" s="122" t="str">
        <f t="shared" si="0"/>
        <v>2023年7月</v>
      </c>
      <c r="AH9" s="122" t="s">
        <v>98</v>
      </c>
      <c r="AI9" s="122" t="str">
        <f t="shared" si="1"/>
        <v>（2023年7月1日～2023年7月31日)分</v>
      </c>
      <c r="AJ9" s="12" t="str">
        <f t="shared" si="6"/>
        <v>2023年</v>
      </c>
      <c r="AK9" s="57" t="str">
        <f t="shared" si="9"/>
        <v>7月</v>
      </c>
      <c r="AL9" s="79" t="str">
        <f t="shared" si="10"/>
        <v>1日</v>
      </c>
      <c r="AM9" s="12" t="str">
        <f t="shared" si="11"/>
        <v>2023年</v>
      </c>
      <c r="AN9" s="51" t="str">
        <f t="shared" si="7"/>
        <v>7月</v>
      </c>
      <c r="AO9" s="79" t="str">
        <f t="shared" si="8"/>
        <v>31日</v>
      </c>
      <c r="AP9" s="3"/>
      <c r="AQ9" s="122">
        <v>1800</v>
      </c>
      <c r="AR9" s="122">
        <v>1350</v>
      </c>
    </row>
    <row r="10" spans="2:44" s="4" customFormat="1" ht="20.100000000000001" customHeight="1">
      <c r="B10" s="14" t="s">
        <v>10</v>
      </c>
      <c r="C10" s="27" t="s">
        <v>36</v>
      </c>
      <c r="D10" s="39" t="s">
        <v>38</v>
      </c>
      <c r="E10" s="39"/>
      <c r="F10" s="39" t="s">
        <v>17</v>
      </c>
      <c r="G10" s="59"/>
      <c r="H10" s="59"/>
      <c r="I10" s="59"/>
      <c r="J10" s="75" t="s">
        <v>22</v>
      </c>
      <c r="K10" s="83" t="s">
        <v>23</v>
      </c>
      <c r="L10" s="93"/>
      <c r="M10" s="98" t="s">
        <v>131</v>
      </c>
      <c r="N10" s="108"/>
      <c r="P10" s="122" t="s">
        <v>121</v>
      </c>
      <c r="Q10" s="131">
        <f t="shared" si="2"/>
        <v>1800</v>
      </c>
      <c r="R10" s="122">
        <f t="shared" si="3"/>
        <v>0</v>
      </c>
      <c r="S10" s="50"/>
      <c r="T10" s="142" t="s">
        <v>45</v>
      </c>
      <c r="U10" s="144"/>
      <c r="V10" s="122" t="s">
        <v>37</v>
      </c>
      <c r="W10" s="145" t="s">
        <v>61</v>
      </c>
      <c r="X10" s="145" t="s">
        <v>61</v>
      </c>
      <c r="Y10" s="146" t="s">
        <v>68</v>
      </c>
      <c r="Z10" s="146" t="s">
        <v>70</v>
      </c>
      <c r="AA10" s="146" t="s">
        <v>67</v>
      </c>
      <c r="AB10" s="122" t="s">
        <v>24</v>
      </c>
      <c r="AC10" s="142" t="s">
        <v>46</v>
      </c>
      <c r="AE10" s="12" t="str">
        <f t="shared" si="4"/>
        <v>2023年</v>
      </c>
      <c r="AF10" s="79" t="str">
        <f t="shared" si="5"/>
        <v>8月</v>
      </c>
      <c r="AG10" s="122" t="str">
        <f t="shared" si="0"/>
        <v>2023年8月</v>
      </c>
      <c r="AH10" s="122" t="s">
        <v>13</v>
      </c>
      <c r="AI10" s="122" t="str">
        <f t="shared" si="1"/>
        <v>（2023年8月1日～2023年8月31日)分</v>
      </c>
      <c r="AJ10" s="12" t="str">
        <f t="shared" si="6"/>
        <v>2023年</v>
      </c>
      <c r="AK10" s="57" t="str">
        <f t="shared" si="9"/>
        <v>8月</v>
      </c>
      <c r="AL10" s="79" t="str">
        <f t="shared" si="10"/>
        <v>1日</v>
      </c>
      <c r="AM10" s="12" t="str">
        <f t="shared" si="11"/>
        <v>2023年</v>
      </c>
      <c r="AN10" s="51" t="str">
        <f t="shared" si="7"/>
        <v>8月</v>
      </c>
      <c r="AO10" s="79" t="str">
        <f t="shared" si="8"/>
        <v>31日</v>
      </c>
      <c r="AP10" s="3"/>
      <c r="AQ10" s="122">
        <v>1600</v>
      </c>
      <c r="AR10" s="122">
        <v>1400</v>
      </c>
    </row>
    <row r="11" spans="2:44" ht="20.100000000000001" customHeight="1">
      <c r="B11" s="15"/>
      <c r="C11" s="28" t="s">
        <v>30</v>
      </c>
      <c r="D11" s="40" t="s">
        <v>18</v>
      </c>
      <c r="E11" s="48"/>
      <c r="F11" s="53" t="s">
        <v>39</v>
      </c>
      <c r="G11" s="60">
        <v>300</v>
      </c>
      <c r="H11" s="60" t="s">
        <v>35</v>
      </c>
      <c r="I11" s="69" t="s">
        <v>1</v>
      </c>
      <c r="J11" s="28"/>
      <c r="K11" s="84"/>
      <c r="L11" s="94"/>
      <c r="M11" s="99"/>
      <c r="N11" s="109"/>
      <c r="P11" s="122" t="s">
        <v>122</v>
      </c>
      <c r="Q11" s="131">
        <f t="shared" si="2"/>
        <v>1600</v>
      </c>
      <c r="R11" s="122">
        <f t="shared" si="3"/>
        <v>0</v>
      </c>
      <c r="T11" s="142" t="s">
        <v>46</v>
      </c>
      <c r="U11" s="144"/>
      <c r="V11" s="122" t="s">
        <v>24</v>
      </c>
      <c r="W11" s="145" t="s">
        <v>62</v>
      </c>
      <c r="X11" s="145" t="s">
        <v>62</v>
      </c>
      <c r="Y11" s="146" t="s">
        <v>70</v>
      </c>
      <c r="Z11" s="146" t="s">
        <v>71</v>
      </c>
      <c r="AA11" s="146" t="s">
        <v>68</v>
      </c>
      <c r="AB11" s="122" t="s">
        <v>26</v>
      </c>
      <c r="AC11" s="142" t="s">
        <v>49</v>
      </c>
      <c r="AE11" s="12" t="str">
        <f t="shared" si="4"/>
        <v>2023年</v>
      </c>
      <c r="AF11" s="79" t="str">
        <f t="shared" si="5"/>
        <v>9月</v>
      </c>
      <c r="AG11" s="122" t="str">
        <f t="shared" si="0"/>
        <v>2023年9月</v>
      </c>
      <c r="AH11" s="122" t="s">
        <v>99</v>
      </c>
      <c r="AI11" s="122" t="str">
        <f t="shared" si="1"/>
        <v>（2023年9月1日～2023年9月30日)分</v>
      </c>
      <c r="AJ11" s="12" t="str">
        <f t="shared" si="6"/>
        <v>2023年</v>
      </c>
      <c r="AK11" s="57" t="str">
        <f t="shared" si="9"/>
        <v>9月</v>
      </c>
      <c r="AL11" s="79" t="str">
        <f t="shared" si="10"/>
        <v>1日</v>
      </c>
      <c r="AM11" s="12" t="str">
        <f t="shared" si="11"/>
        <v>2023年</v>
      </c>
      <c r="AN11" s="51" t="str">
        <f t="shared" si="7"/>
        <v>9月</v>
      </c>
      <c r="AO11" s="79" t="str">
        <f t="shared" si="8"/>
        <v>30日</v>
      </c>
      <c r="AP11" s="3"/>
      <c r="AQ11" s="122">
        <v>400</v>
      </c>
      <c r="AR11" s="122">
        <v>200</v>
      </c>
    </row>
    <row r="12" spans="2:44" s="5" customFormat="1" ht="20.100000000000001" customHeight="1">
      <c r="B12" s="16">
        <v>1</v>
      </c>
      <c r="C12" s="29"/>
      <c r="D12" s="41"/>
      <c r="E12" s="41"/>
      <c r="F12" s="54"/>
      <c r="G12" s="61"/>
      <c r="H12" s="61"/>
      <c r="I12" s="70"/>
      <c r="J12" s="76"/>
      <c r="K12" s="85"/>
      <c r="L12" s="85"/>
      <c r="M12" s="100"/>
      <c r="N12" s="110"/>
      <c r="P12" s="122" t="s">
        <v>123</v>
      </c>
      <c r="Q12" s="131">
        <f t="shared" si="2"/>
        <v>400</v>
      </c>
      <c r="R12" s="122">
        <f t="shared" si="3"/>
        <v>0</v>
      </c>
      <c r="S12" s="50"/>
      <c r="T12" s="142" t="s">
        <v>49</v>
      </c>
      <c r="U12" s="144" t="s">
        <v>34</v>
      </c>
      <c r="V12" s="122" t="s">
        <v>26</v>
      </c>
      <c r="W12" s="145" t="s">
        <v>61</v>
      </c>
      <c r="X12" s="145" t="s">
        <v>61</v>
      </c>
      <c r="Y12" s="146" t="s">
        <v>71</v>
      </c>
      <c r="Z12" s="146" t="s">
        <v>72</v>
      </c>
      <c r="AA12" s="146" t="s">
        <v>70</v>
      </c>
      <c r="AB12" s="122" t="s">
        <v>54</v>
      </c>
      <c r="AC12" s="142" t="s">
        <v>19</v>
      </c>
      <c r="AE12" s="12" t="str">
        <f t="shared" si="4"/>
        <v>2023年</v>
      </c>
      <c r="AF12" s="79" t="str">
        <f t="shared" si="5"/>
        <v>10月</v>
      </c>
      <c r="AG12" s="122" t="str">
        <f t="shared" si="0"/>
        <v>2023年10月</v>
      </c>
      <c r="AH12" s="122" t="s">
        <v>100</v>
      </c>
      <c r="AI12" s="122" t="str">
        <f t="shared" si="1"/>
        <v>（2023年10月1日～2023年10月31日)分</v>
      </c>
      <c r="AJ12" s="12" t="str">
        <f t="shared" si="6"/>
        <v>2023年</v>
      </c>
      <c r="AK12" s="57" t="str">
        <f t="shared" si="9"/>
        <v>10月</v>
      </c>
      <c r="AL12" s="79" t="str">
        <f t="shared" si="10"/>
        <v>1日</v>
      </c>
      <c r="AM12" s="12" t="str">
        <f t="shared" si="11"/>
        <v>2023年</v>
      </c>
      <c r="AN12" s="51" t="str">
        <f t="shared" si="7"/>
        <v>10月</v>
      </c>
      <c r="AO12" s="79" t="str">
        <f t="shared" si="8"/>
        <v>31日</v>
      </c>
      <c r="AP12" s="3"/>
      <c r="AQ12" s="122">
        <v>400</v>
      </c>
      <c r="AR12" s="122">
        <v>200</v>
      </c>
    </row>
    <row r="13" spans="2:44" s="5" customFormat="1" ht="20.100000000000001" customHeight="1">
      <c r="B13" s="17">
        <v>2</v>
      </c>
      <c r="C13" s="30"/>
      <c r="D13" s="41"/>
      <c r="E13" s="41"/>
      <c r="F13" s="55"/>
      <c r="G13" s="62"/>
      <c r="H13" s="62"/>
      <c r="I13" s="71"/>
      <c r="J13" s="77"/>
      <c r="K13" s="86"/>
      <c r="L13" s="86"/>
      <c r="M13" s="101"/>
      <c r="N13" s="111"/>
      <c r="P13" s="122" t="s">
        <v>124</v>
      </c>
      <c r="Q13" s="131">
        <f t="shared" si="2"/>
        <v>400</v>
      </c>
      <c r="R13" s="122">
        <f t="shared" si="3"/>
        <v>0</v>
      </c>
      <c r="S13" s="50"/>
      <c r="T13" s="142" t="s">
        <v>19</v>
      </c>
      <c r="U13" s="144"/>
      <c r="V13" s="122" t="s">
        <v>54</v>
      </c>
      <c r="W13" s="145" t="s">
        <v>61</v>
      </c>
      <c r="X13" s="145" t="s">
        <v>61</v>
      </c>
      <c r="Y13" s="146" t="s">
        <v>72</v>
      </c>
      <c r="Z13" s="146" t="s">
        <v>73</v>
      </c>
      <c r="AA13" s="146" t="s">
        <v>71</v>
      </c>
      <c r="AB13" s="122" t="s">
        <v>57</v>
      </c>
      <c r="AC13" s="142" t="s">
        <v>50</v>
      </c>
      <c r="AE13" s="12" t="str">
        <f t="shared" si="4"/>
        <v>2023年</v>
      </c>
      <c r="AF13" s="79" t="str">
        <f t="shared" si="5"/>
        <v>11月</v>
      </c>
      <c r="AG13" s="122" t="str">
        <f t="shared" si="0"/>
        <v>2023年11月</v>
      </c>
      <c r="AH13" s="122" t="s">
        <v>101</v>
      </c>
      <c r="AI13" s="122" t="str">
        <f t="shared" si="1"/>
        <v>（2023年11月1日～2023年11月30日)分</v>
      </c>
      <c r="AJ13" s="12" t="str">
        <f t="shared" si="6"/>
        <v>2023年</v>
      </c>
      <c r="AK13" s="57" t="str">
        <f t="shared" si="9"/>
        <v>11月</v>
      </c>
      <c r="AL13" s="79" t="str">
        <f t="shared" si="10"/>
        <v>1日</v>
      </c>
      <c r="AM13" s="12" t="str">
        <f t="shared" si="11"/>
        <v>2023年</v>
      </c>
      <c r="AN13" s="51" t="str">
        <f t="shared" si="7"/>
        <v>11月</v>
      </c>
      <c r="AO13" s="79" t="str">
        <f t="shared" si="8"/>
        <v>30日</v>
      </c>
      <c r="AP13" s="3"/>
      <c r="AQ13" s="122">
        <v>300</v>
      </c>
      <c r="AR13" s="122">
        <v>250</v>
      </c>
    </row>
    <row r="14" spans="2:44" s="5" customFormat="1" ht="20.100000000000001" customHeight="1">
      <c r="B14" s="17">
        <v>3</v>
      </c>
      <c r="C14" s="30"/>
      <c r="D14" s="41"/>
      <c r="E14" s="41"/>
      <c r="F14" s="55"/>
      <c r="G14" s="62"/>
      <c r="H14" s="62"/>
      <c r="I14" s="71"/>
      <c r="J14" s="77"/>
      <c r="K14" s="86"/>
      <c r="L14" s="86"/>
      <c r="M14" s="101"/>
      <c r="N14" s="111"/>
      <c r="P14" s="122" t="s">
        <v>109</v>
      </c>
      <c r="Q14" s="131">
        <f t="shared" si="2"/>
        <v>300</v>
      </c>
      <c r="R14" s="122">
        <f t="shared" si="3"/>
        <v>0</v>
      </c>
      <c r="S14" s="50"/>
      <c r="T14" s="142" t="s">
        <v>50</v>
      </c>
      <c r="U14" s="144"/>
      <c r="V14" s="122" t="s">
        <v>57</v>
      </c>
      <c r="W14" s="145" t="s">
        <v>62</v>
      </c>
      <c r="X14" s="145" t="s">
        <v>62</v>
      </c>
      <c r="Y14" s="146" t="s">
        <v>73</v>
      </c>
      <c r="Z14" s="146" t="s">
        <v>74</v>
      </c>
      <c r="AA14" s="146" t="s">
        <v>72</v>
      </c>
      <c r="AB14" s="122" t="s">
        <v>58</v>
      </c>
      <c r="AC14" s="142" t="s">
        <v>52</v>
      </c>
      <c r="AE14" s="12" t="str">
        <f t="shared" si="4"/>
        <v>2023年</v>
      </c>
      <c r="AF14" s="79" t="str">
        <f t="shared" si="5"/>
        <v>12月</v>
      </c>
      <c r="AG14" s="122" t="str">
        <f t="shared" si="0"/>
        <v>2023年12月</v>
      </c>
      <c r="AH14" s="122" t="s">
        <v>102</v>
      </c>
      <c r="AI14" s="122" t="str">
        <f t="shared" si="1"/>
        <v>（2023年12月1日～2023年12月31日)分</v>
      </c>
      <c r="AJ14" s="12" t="str">
        <f t="shared" si="6"/>
        <v>2023年</v>
      </c>
      <c r="AK14" s="57" t="str">
        <f t="shared" si="9"/>
        <v>12月</v>
      </c>
      <c r="AL14" s="79" t="str">
        <f t="shared" si="10"/>
        <v>1日</v>
      </c>
      <c r="AM14" s="12" t="str">
        <f t="shared" si="11"/>
        <v>2023年</v>
      </c>
      <c r="AN14" s="51" t="str">
        <f t="shared" si="7"/>
        <v>12月</v>
      </c>
      <c r="AO14" s="79" t="str">
        <f t="shared" si="8"/>
        <v>31日</v>
      </c>
      <c r="AP14" s="3"/>
      <c r="AQ14" s="122">
        <v>600</v>
      </c>
      <c r="AR14" s="122">
        <v>300</v>
      </c>
    </row>
    <row r="15" spans="2:44" ht="20.100000000000001" customHeight="1">
      <c r="B15" s="17">
        <v>4</v>
      </c>
      <c r="C15" s="30"/>
      <c r="D15" s="41"/>
      <c r="E15" s="41"/>
      <c r="F15" s="55"/>
      <c r="G15" s="62"/>
      <c r="H15" s="62"/>
      <c r="I15" s="71"/>
      <c r="J15" s="77"/>
      <c r="K15" s="86"/>
      <c r="L15" s="86"/>
      <c r="M15" s="101"/>
      <c r="N15" s="111"/>
      <c r="P15" s="122" t="s">
        <v>110</v>
      </c>
      <c r="Q15" s="131">
        <f t="shared" si="2"/>
        <v>600</v>
      </c>
      <c r="R15" s="122">
        <f t="shared" si="3"/>
        <v>0</v>
      </c>
      <c r="T15" s="142" t="s">
        <v>52</v>
      </c>
      <c r="U15" s="144"/>
      <c r="V15" s="122" t="s">
        <v>58</v>
      </c>
      <c r="W15" s="145" t="s">
        <v>61</v>
      </c>
      <c r="X15" s="145" t="s">
        <v>61</v>
      </c>
      <c r="Y15" s="146" t="s">
        <v>74</v>
      </c>
      <c r="Z15" s="146" t="s">
        <v>75</v>
      </c>
      <c r="AA15" s="146" t="s">
        <v>73</v>
      </c>
      <c r="AB15" s="122" t="s">
        <v>59</v>
      </c>
      <c r="AC15" s="142" t="s">
        <v>91</v>
      </c>
      <c r="AE15" s="12" t="str">
        <f t="shared" si="4"/>
        <v>2024年</v>
      </c>
      <c r="AF15" s="79" t="str">
        <f t="shared" si="5"/>
        <v>1月</v>
      </c>
      <c r="AG15" s="122" t="str">
        <f t="shared" si="0"/>
        <v>2024年1月</v>
      </c>
      <c r="AH15" s="122" t="s">
        <v>103</v>
      </c>
      <c r="AI15" s="122" t="str">
        <f t="shared" si="1"/>
        <v>（2024年1月1日～2024年1月31日)分</v>
      </c>
      <c r="AJ15" s="12" t="str">
        <f t="shared" si="6"/>
        <v>2024年</v>
      </c>
      <c r="AK15" s="57" t="str">
        <f t="shared" si="9"/>
        <v>1月</v>
      </c>
      <c r="AL15" s="79" t="str">
        <f t="shared" si="10"/>
        <v>1日</v>
      </c>
      <c r="AM15" s="12" t="str">
        <f t="shared" si="11"/>
        <v>2024年</v>
      </c>
      <c r="AN15" s="51" t="str">
        <f t="shared" si="7"/>
        <v>1月</v>
      </c>
      <c r="AO15" s="79" t="str">
        <f t="shared" si="8"/>
        <v>31日</v>
      </c>
      <c r="AP15" s="3"/>
      <c r="AQ15" s="122">
        <v>500</v>
      </c>
      <c r="AR15" s="122">
        <v>300</v>
      </c>
    </row>
    <row r="16" spans="2:44" ht="20.100000000000001" customHeight="1">
      <c r="B16" s="17">
        <v>5</v>
      </c>
      <c r="C16" s="30"/>
      <c r="D16" s="41"/>
      <c r="E16" s="41"/>
      <c r="F16" s="55"/>
      <c r="G16" s="62"/>
      <c r="H16" s="62"/>
      <c r="I16" s="71"/>
      <c r="J16" s="77"/>
      <c r="K16" s="86"/>
      <c r="L16" s="86"/>
      <c r="M16" s="101"/>
      <c r="N16" s="111"/>
      <c r="P16" s="122" t="s">
        <v>47</v>
      </c>
      <c r="Q16" s="131">
        <f t="shared" si="2"/>
        <v>500</v>
      </c>
      <c r="R16" s="122">
        <f t="shared" si="3"/>
        <v>0</v>
      </c>
      <c r="T16" s="142" t="s">
        <v>91</v>
      </c>
      <c r="U16" s="144" t="s">
        <v>34</v>
      </c>
      <c r="V16" s="122" t="s">
        <v>59</v>
      </c>
      <c r="W16" s="145" t="s">
        <v>62</v>
      </c>
      <c r="X16" s="145" t="s">
        <v>62</v>
      </c>
      <c r="Y16" s="146" t="s">
        <v>75</v>
      </c>
      <c r="Z16" s="146" t="s">
        <v>77</v>
      </c>
      <c r="AA16" s="146" t="s">
        <v>74</v>
      </c>
      <c r="AB16" s="122" t="s">
        <v>60</v>
      </c>
      <c r="AC16" s="142" t="s">
        <v>94</v>
      </c>
      <c r="AE16" s="12" t="str">
        <f t="shared" si="4"/>
        <v>2024年</v>
      </c>
      <c r="AF16" s="79" t="str">
        <f t="shared" si="5"/>
        <v>2月</v>
      </c>
      <c r="AG16" s="122" t="str">
        <f t="shared" si="0"/>
        <v>2024年2月</v>
      </c>
      <c r="AH16" s="122" t="s">
        <v>104</v>
      </c>
      <c r="AI16" s="122" t="str">
        <f t="shared" si="1"/>
        <v>（2024年2月1日～2024年2月28日)分</v>
      </c>
      <c r="AJ16" s="12" t="str">
        <f t="shared" si="6"/>
        <v>2024年</v>
      </c>
      <c r="AK16" s="57" t="str">
        <f t="shared" si="9"/>
        <v>2月</v>
      </c>
      <c r="AL16" s="79" t="str">
        <f t="shared" si="10"/>
        <v>1日</v>
      </c>
      <c r="AM16" s="12" t="str">
        <f t="shared" si="11"/>
        <v>2024年</v>
      </c>
      <c r="AN16" s="51" t="str">
        <f t="shared" si="7"/>
        <v>2月</v>
      </c>
      <c r="AO16" s="79" t="str">
        <f t="shared" si="8"/>
        <v>28日</v>
      </c>
      <c r="AP16" s="3"/>
      <c r="AQ16" s="122">
        <v>1100</v>
      </c>
      <c r="AR16" s="122">
        <v>800</v>
      </c>
    </row>
    <row r="17" spans="2:44" ht="20.100000000000001" customHeight="1">
      <c r="B17" s="17">
        <v>6</v>
      </c>
      <c r="C17" s="30"/>
      <c r="D17" s="41"/>
      <c r="E17" s="41"/>
      <c r="F17" s="55"/>
      <c r="G17" s="62"/>
      <c r="H17" s="62"/>
      <c r="I17" s="71"/>
      <c r="J17" s="77"/>
      <c r="K17" s="86"/>
      <c r="L17" s="86"/>
      <c r="M17" s="101"/>
      <c r="N17" s="111"/>
      <c r="P17" s="122" t="s">
        <v>125</v>
      </c>
      <c r="Q17" s="131">
        <f t="shared" si="2"/>
        <v>1100</v>
      </c>
      <c r="R17" s="122">
        <f t="shared" si="3"/>
        <v>0</v>
      </c>
      <c r="T17" s="142" t="s">
        <v>94</v>
      </c>
      <c r="U17" s="144"/>
      <c r="V17" s="122" t="s">
        <v>60</v>
      </c>
      <c r="W17" s="145" t="s">
        <v>61</v>
      </c>
      <c r="X17" s="145" t="s">
        <v>61</v>
      </c>
      <c r="Y17" s="146" t="s">
        <v>77</v>
      </c>
      <c r="Z17" s="146" t="s">
        <v>76</v>
      </c>
      <c r="AA17" s="146" t="s">
        <v>75</v>
      </c>
      <c r="AB17" s="122" t="s">
        <v>8</v>
      </c>
      <c r="AC17" s="142" t="s">
        <v>113</v>
      </c>
      <c r="AE17" s="12" t="str">
        <f t="shared" si="4"/>
        <v>2024年</v>
      </c>
      <c r="AF17" s="79" t="str">
        <f t="shared" si="5"/>
        <v>3月</v>
      </c>
      <c r="AG17" s="122" t="str">
        <f t="shared" si="0"/>
        <v>2024年3月</v>
      </c>
      <c r="AH17" s="122" t="s">
        <v>105</v>
      </c>
      <c r="AI17" s="122" t="str">
        <f t="shared" si="1"/>
        <v>（2024年3月1日～2024年3月31日)分</v>
      </c>
      <c r="AJ17" s="12" t="str">
        <f t="shared" si="6"/>
        <v>2024年</v>
      </c>
      <c r="AK17" s="57" t="str">
        <f t="shared" si="9"/>
        <v>3月</v>
      </c>
      <c r="AL17" s="79" t="str">
        <f t="shared" si="10"/>
        <v>1日</v>
      </c>
      <c r="AM17" s="12" t="str">
        <f t="shared" si="11"/>
        <v>2024年</v>
      </c>
      <c r="AN17" s="51" t="str">
        <f t="shared" si="7"/>
        <v>3月</v>
      </c>
      <c r="AO17" s="79" t="str">
        <f t="shared" si="8"/>
        <v>31日</v>
      </c>
      <c r="AP17" s="154"/>
      <c r="AQ17" s="122">
        <v>100</v>
      </c>
      <c r="AR17" s="122">
        <v>50</v>
      </c>
    </row>
    <row r="18" spans="2:44" ht="20.100000000000001" customHeight="1">
      <c r="B18" s="17">
        <v>7</v>
      </c>
      <c r="C18" s="30"/>
      <c r="D18" s="41"/>
      <c r="E18" s="41"/>
      <c r="F18" s="55"/>
      <c r="G18" s="62"/>
      <c r="H18" s="62"/>
      <c r="I18" s="71"/>
      <c r="J18" s="77"/>
      <c r="K18" s="86"/>
      <c r="L18" s="86"/>
      <c r="M18" s="101"/>
      <c r="N18" s="111"/>
      <c r="P18" s="122" t="s">
        <v>126</v>
      </c>
      <c r="Q18" s="131">
        <f t="shared" si="2"/>
        <v>100</v>
      </c>
      <c r="R18" s="122">
        <f t="shared" si="3"/>
        <v>0</v>
      </c>
      <c r="V18" s="122" t="s">
        <v>12</v>
      </c>
      <c r="Y18" s="146" t="s">
        <v>76</v>
      </c>
      <c r="Z18" s="146" t="s">
        <v>0</v>
      </c>
      <c r="AA18" s="146" t="s">
        <v>77</v>
      </c>
      <c r="AE18" s="12" t="str">
        <f>IF(AG20="不要","",IF(AF17="12月",VLOOKUP(AE17,$T$6:$AC$17,10,FALSE),AE17))</f>
        <v/>
      </c>
      <c r="AF18" s="79" t="str">
        <f>IF(AG20="不要","",VLOOKUP(AF17,$V$6:$AB$17,7,FALSE))</f>
        <v/>
      </c>
      <c r="AG18" s="122" t="str">
        <f>IF(AG20="不要","",AE18&amp;AF18)</f>
        <v/>
      </c>
      <c r="AH18" s="122" t="str">
        <f>IF(AG20="不要","","13回目")</f>
        <v/>
      </c>
      <c r="AI18" s="122" t="str">
        <f>IF(AG20="不要","",CONCATENATE("（",AJ18&amp;AK18,AL18,"～",AM18,AN18,AO18,")分"))</f>
        <v/>
      </c>
      <c r="AJ18" s="12" t="str">
        <f>IF(AG20="不要","",IF(AND(AJ17=$L$7,AK17="12月"),VLOOKUP($L$7,$T$6:$AC$17,10,FALSE),AJ17))</f>
        <v/>
      </c>
      <c r="AK18" s="57" t="str">
        <f>IF(AG20="不要","",VLOOKUP($AK17,$V$6:$AB$17,7,FALSE))</f>
        <v/>
      </c>
      <c r="AL18" s="79" t="str">
        <f>IF(AG20="不要","",IF($M$8="末日","1日",AL17))</f>
        <v/>
      </c>
      <c r="AM18" s="12" t="str">
        <f t="shared" si="11"/>
        <v/>
      </c>
      <c r="AN18" s="51" t="str">
        <f>IF(AG20="不要","",IF(AL6="1日",AK18,AK6))</f>
        <v/>
      </c>
      <c r="AO18" s="79" t="str">
        <f>IF(AG20="不要","",IF(AL6="1日",VLOOKUP(AN18,$V$6:$X$17,IF(VLOOKUP(AM18,$T$6:$U$17,2,FALSE)="○",3,2),FALSE),VLOOKUP(N7,$Y$6:$AA$37,3,FALSE)))</f>
        <v/>
      </c>
      <c r="AP18" s="154"/>
      <c r="AQ18" s="122">
        <v>400</v>
      </c>
      <c r="AR18" s="122">
        <v>300</v>
      </c>
    </row>
    <row r="19" spans="2:44" ht="20.100000000000001" customHeight="1">
      <c r="B19" s="17">
        <v>8</v>
      </c>
      <c r="C19" s="30"/>
      <c r="D19" s="41"/>
      <c r="E19" s="41"/>
      <c r="F19" s="55"/>
      <c r="G19" s="62"/>
      <c r="H19" s="62"/>
      <c r="I19" s="71"/>
      <c r="J19" s="77"/>
      <c r="K19" s="86"/>
      <c r="L19" s="86"/>
      <c r="M19" s="101"/>
      <c r="N19" s="111"/>
      <c r="P19" s="122" t="s">
        <v>111</v>
      </c>
      <c r="Q19" s="131">
        <f t="shared" si="2"/>
        <v>400</v>
      </c>
      <c r="R19" s="122">
        <f t="shared" si="3"/>
        <v>0</v>
      </c>
      <c r="V19" s="122" t="s">
        <v>53</v>
      </c>
      <c r="Y19" s="146" t="s">
        <v>0</v>
      </c>
      <c r="Z19" s="146" t="s">
        <v>78</v>
      </c>
      <c r="AA19" s="146" t="s">
        <v>76</v>
      </c>
      <c r="AP19" s="50"/>
      <c r="AQ19" s="122"/>
      <c r="AR19" s="122"/>
    </row>
    <row r="20" spans="2:44" ht="20.100000000000001" customHeight="1">
      <c r="B20" s="17">
        <v>9</v>
      </c>
      <c r="C20" s="30"/>
      <c r="D20" s="41"/>
      <c r="E20" s="41"/>
      <c r="F20" s="55"/>
      <c r="G20" s="62"/>
      <c r="H20" s="62"/>
      <c r="I20" s="71"/>
      <c r="J20" s="77"/>
      <c r="K20" s="86"/>
      <c r="L20" s="86"/>
      <c r="M20" s="101"/>
      <c r="N20" s="111"/>
      <c r="P20" s="123" t="s">
        <v>108</v>
      </c>
      <c r="Q20" s="131"/>
      <c r="R20" s="122"/>
      <c r="V20" s="122" t="s">
        <v>55</v>
      </c>
      <c r="Y20" s="146" t="s">
        <v>78</v>
      </c>
      <c r="Z20" s="146" t="s">
        <v>79</v>
      </c>
      <c r="AA20" s="146" t="s">
        <v>0</v>
      </c>
      <c r="AE20" s="12" t="s">
        <v>127</v>
      </c>
      <c r="AF20" s="79"/>
      <c r="AG20" s="74" t="str">
        <f>IF(AND(N7="1日",M8="末日"),"不要",IF(AK3=AL3,"不要","要"))</f>
        <v>不要</v>
      </c>
      <c r="AP20" s="50"/>
      <c r="AQ20" s="50"/>
    </row>
    <row r="21" spans="2:44" ht="20.100000000000001" customHeight="1">
      <c r="B21" s="17">
        <v>10</v>
      </c>
      <c r="C21" s="30"/>
      <c r="D21" s="41"/>
      <c r="E21" s="41"/>
      <c r="F21" s="55"/>
      <c r="G21" s="62"/>
      <c r="H21" s="62"/>
      <c r="I21" s="71"/>
      <c r="J21" s="77"/>
      <c r="K21" s="86"/>
      <c r="L21" s="86"/>
      <c r="M21" s="101"/>
      <c r="N21" s="111"/>
      <c r="P21" s="124"/>
      <c r="R21" s="50"/>
      <c r="V21" s="122" t="s">
        <v>56</v>
      </c>
      <c r="Y21" s="146" t="s">
        <v>79</v>
      </c>
      <c r="Z21" s="146" t="s">
        <v>80</v>
      </c>
      <c r="AA21" s="146" t="s">
        <v>78</v>
      </c>
      <c r="AP21" s="50"/>
      <c r="AQ21" s="50"/>
    </row>
    <row r="22" spans="2:44" ht="20.100000000000001" customHeight="1">
      <c r="B22" s="17">
        <v>11</v>
      </c>
      <c r="C22" s="30"/>
      <c r="D22" s="41"/>
      <c r="E22" s="41"/>
      <c r="F22" s="55"/>
      <c r="G22" s="62"/>
      <c r="H22" s="62"/>
      <c r="I22" s="71"/>
      <c r="J22" s="77"/>
      <c r="K22" s="86"/>
      <c r="L22" s="86"/>
      <c r="M22" s="101"/>
      <c r="N22" s="111"/>
      <c r="P22" s="50"/>
      <c r="R22" s="50"/>
      <c r="V22" s="122" t="s">
        <v>37</v>
      </c>
      <c r="Y22" s="146" t="s">
        <v>80</v>
      </c>
      <c r="Z22" s="146" t="s">
        <v>81</v>
      </c>
      <c r="AA22" s="146" t="s">
        <v>79</v>
      </c>
      <c r="AP22" s="50"/>
      <c r="AQ22" s="50"/>
    </row>
    <row r="23" spans="2:44" ht="20.100000000000001" customHeight="1">
      <c r="B23" s="17">
        <v>12</v>
      </c>
      <c r="C23" s="30"/>
      <c r="D23" s="41"/>
      <c r="E23" s="41"/>
      <c r="F23" s="55"/>
      <c r="G23" s="62"/>
      <c r="H23" s="62"/>
      <c r="I23" s="71"/>
      <c r="J23" s="77"/>
      <c r="K23" s="86"/>
      <c r="L23" s="86"/>
      <c r="M23" s="101"/>
      <c r="N23" s="111"/>
      <c r="P23" s="50"/>
      <c r="R23" s="50"/>
      <c r="V23" s="122" t="s">
        <v>24</v>
      </c>
      <c r="Y23" s="146" t="s">
        <v>81</v>
      </c>
      <c r="Z23" s="146" t="s">
        <v>82</v>
      </c>
      <c r="AA23" s="146" t="s">
        <v>80</v>
      </c>
      <c r="AP23" s="50"/>
      <c r="AQ23" s="50"/>
    </row>
    <row r="24" spans="2:44" ht="20.100000000000001" customHeight="1">
      <c r="B24" s="17">
        <v>13</v>
      </c>
      <c r="C24" s="30"/>
      <c r="D24" s="41"/>
      <c r="E24" s="41"/>
      <c r="F24" s="55"/>
      <c r="G24" s="62"/>
      <c r="H24" s="62"/>
      <c r="I24" s="71"/>
      <c r="J24" s="77"/>
      <c r="K24" s="86"/>
      <c r="L24" s="86"/>
      <c r="M24" s="101"/>
      <c r="N24" s="111"/>
      <c r="P24" s="50"/>
      <c r="R24" s="50"/>
      <c r="V24" s="122" t="s">
        <v>26</v>
      </c>
      <c r="Y24" s="146" t="s">
        <v>82</v>
      </c>
      <c r="Z24" s="146" t="s">
        <v>84</v>
      </c>
      <c r="AA24" s="146" t="s">
        <v>81</v>
      </c>
      <c r="AP24" s="50"/>
      <c r="AQ24" s="50"/>
    </row>
    <row r="25" spans="2:44" ht="20.100000000000001" customHeight="1">
      <c r="B25" s="17">
        <v>14</v>
      </c>
      <c r="C25" s="30"/>
      <c r="D25" s="41"/>
      <c r="E25" s="41"/>
      <c r="F25" s="55"/>
      <c r="G25" s="62"/>
      <c r="H25" s="62"/>
      <c r="I25" s="71"/>
      <c r="J25" s="77"/>
      <c r="K25" s="86"/>
      <c r="L25" s="86"/>
      <c r="M25" s="101"/>
      <c r="N25" s="111"/>
      <c r="P25" s="50"/>
      <c r="R25" s="50"/>
      <c r="V25" s="122" t="s">
        <v>54</v>
      </c>
      <c r="Y25" s="146" t="s">
        <v>84</v>
      </c>
      <c r="Z25" s="146" t="s">
        <v>85</v>
      </c>
      <c r="AA25" s="146" t="s">
        <v>82</v>
      </c>
      <c r="AP25" s="50"/>
      <c r="AQ25" s="50"/>
    </row>
    <row r="26" spans="2:44" ht="20.100000000000001" customHeight="1">
      <c r="B26" s="17">
        <v>15</v>
      </c>
      <c r="C26" s="30"/>
      <c r="D26" s="41"/>
      <c r="E26" s="41"/>
      <c r="F26" s="55"/>
      <c r="G26" s="62"/>
      <c r="H26" s="62"/>
      <c r="I26" s="71"/>
      <c r="J26" s="77"/>
      <c r="K26" s="86"/>
      <c r="L26" s="86"/>
      <c r="M26" s="101"/>
      <c r="N26" s="111"/>
      <c r="P26" s="50"/>
      <c r="R26" s="50"/>
      <c r="V26" s="122" t="s">
        <v>57</v>
      </c>
      <c r="Y26" s="146" t="s">
        <v>85</v>
      </c>
      <c r="Z26" s="146" t="s">
        <v>86</v>
      </c>
      <c r="AA26" s="146" t="s">
        <v>84</v>
      </c>
      <c r="AP26" s="50"/>
      <c r="AQ26" s="50"/>
    </row>
    <row r="27" spans="2:44" ht="20.100000000000001" customHeight="1">
      <c r="B27" s="17">
        <v>16</v>
      </c>
      <c r="C27" s="30"/>
      <c r="D27" s="41"/>
      <c r="E27" s="41"/>
      <c r="F27" s="55"/>
      <c r="G27" s="62"/>
      <c r="H27" s="62"/>
      <c r="I27" s="71"/>
      <c r="J27" s="77"/>
      <c r="K27" s="86"/>
      <c r="L27" s="86"/>
      <c r="M27" s="101"/>
      <c r="N27" s="111"/>
      <c r="P27" s="50"/>
      <c r="R27" s="50"/>
      <c r="T27" s="6"/>
      <c r="U27" s="6"/>
      <c r="V27" s="122" t="s">
        <v>58</v>
      </c>
      <c r="W27" s="6"/>
      <c r="X27" s="6"/>
      <c r="Y27" s="146" t="s">
        <v>86</v>
      </c>
      <c r="Z27" s="146" t="s">
        <v>87</v>
      </c>
      <c r="AA27" s="146" t="s">
        <v>85</v>
      </c>
      <c r="AP27" s="50"/>
      <c r="AQ27" s="50"/>
    </row>
    <row r="28" spans="2:44" ht="20.100000000000001" customHeight="1">
      <c r="B28" s="17">
        <v>17</v>
      </c>
      <c r="C28" s="30"/>
      <c r="D28" s="41"/>
      <c r="E28" s="41"/>
      <c r="F28" s="55"/>
      <c r="G28" s="62"/>
      <c r="H28" s="62"/>
      <c r="I28" s="71"/>
      <c r="J28" s="77" t="str">
        <f>IFERROR(VLOOKUP(D28,$P$7:$Q$19,2,FALSE),"")</f>
        <v/>
      </c>
      <c r="K28" s="86"/>
      <c r="L28" s="86"/>
      <c r="M28" s="101"/>
      <c r="N28" s="111"/>
      <c r="P28" s="50"/>
      <c r="R28" s="50"/>
      <c r="V28" s="122" t="s">
        <v>59</v>
      </c>
      <c r="Y28" s="146" t="s">
        <v>87</v>
      </c>
      <c r="Z28" s="146" t="s">
        <v>88</v>
      </c>
      <c r="AA28" s="146" t="s">
        <v>86</v>
      </c>
      <c r="AP28" s="50"/>
      <c r="AQ28" s="50"/>
    </row>
    <row r="29" spans="2:44" ht="20.100000000000001" customHeight="1">
      <c r="B29" s="17">
        <v>18</v>
      </c>
      <c r="C29" s="30"/>
      <c r="D29" s="41"/>
      <c r="E29" s="41"/>
      <c r="F29" s="55"/>
      <c r="G29" s="62"/>
      <c r="H29" s="62"/>
      <c r="I29" s="71"/>
      <c r="J29" s="77" t="str">
        <f>IFERROR(VLOOKUP(D29,$P$7:$Q$19,2,FALSE),"")</f>
        <v/>
      </c>
      <c r="K29" s="86"/>
      <c r="L29" s="86"/>
      <c r="M29" s="101"/>
      <c r="N29" s="111"/>
      <c r="P29" s="50"/>
      <c r="R29" s="50"/>
      <c r="V29" s="122" t="s">
        <v>60</v>
      </c>
      <c r="Y29" s="146" t="s">
        <v>88</v>
      </c>
      <c r="Z29" s="146" t="s">
        <v>89</v>
      </c>
      <c r="AA29" s="146" t="s">
        <v>87</v>
      </c>
      <c r="AP29" s="50"/>
      <c r="AQ29" s="50"/>
    </row>
    <row r="30" spans="2:44" ht="20.100000000000001" customHeight="1">
      <c r="B30" s="17">
        <v>19</v>
      </c>
      <c r="C30" s="30"/>
      <c r="D30" s="41"/>
      <c r="E30" s="41"/>
      <c r="F30" s="55"/>
      <c r="G30" s="62"/>
      <c r="H30" s="62"/>
      <c r="I30" s="71"/>
      <c r="J30" s="77" t="str">
        <f>IFERROR(VLOOKUP(D30,$P$7:$Q$19,2,FALSE),"")</f>
        <v/>
      </c>
      <c r="K30" s="86"/>
      <c r="L30" s="86"/>
      <c r="M30" s="101"/>
      <c r="N30" s="111"/>
      <c r="P30" s="50"/>
      <c r="R30" s="50"/>
      <c r="Y30" s="146" t="s">
        <v>89</v>
      </c>
      <c r="Z30" s="146" t="s">
        <v>90</v>
      </c>
      <c r="AA30" s="146" t="s">
        <v>88</v>
      </c>
      <c r="AP30" s="50"/>
      <c r="AQ30" s="50"/>
    </row>
    <row r="31" spans="2:44" ht="20.100000000000001" customHeight="1">
      <c r="B31" s="18">
        <v>20</v>
      </c>
      <c r="C31" s="31"/>
      <c r="D31" s="41"/>
      <c r="E31" s="41"/>
      <c r="F31" s="56"/>
      <c r="G31" s="63"/>
      <c r="H31" s="63"/>
      <c r="I31" s="72"/>
      <c r="J31" s="78" t="str">
        <f>IFERROR(VLOOKUP(D31,$P$7:$Q$19,2,FALSE),"")</f>
        <v/>
      </c>
      <c r="K31" s="87"/>
      <c r="L31" s="87"/>
      <c r="M31" s="102"/>
      <c r="N31" s="112"/>
      <c r="P31" s="125"/>
      <c r="R31" s="50"/>
      <c r="T31" s="4"/>
      <c r="U31" s="4"/>
      <c r="V31" s="4"/>
      <c r="W31" s="4"/>
      <c r="X31" s="4"/>
      <c r="Y31" s="146" t="s">
        <v>90</v>
      </c>
      <c r="Z31" s="146" t="s">
        <v>20</v>
      </c>
      <c r="AA31" s="146" t="s">
        <v>89</v>
      </c>
      <c r="AP31" s="50"/>
      <c r="AQ31" s="50"/>
    </row>
    <row r="32" spans="2:44" ht="20.100000000000001" customHeight="1">
      <c r="B32" s="19" t="s">
        <v>133</v>
      </c>
      <c r="C32" s="32">
        <f>COUNTA(D12:E31)</f>
        <v>0</v>
      </c>
      <c r="D32" s="42" t="s">
        <v>16</v>
      </c>
      <c r="E32" s="49"/>
      <c r="F32" s="49"/>
      <c r="G32" s="64" t="s">
        <v>112</v>
      </c>
      <c r="H32" s="49"/>
      <c r="I32" s="49"/>
      <c r="J32" s="50"/>
      <c r="K32" s="49"/>
      <c r="L32" s="49"/>
      <c r="M32" s="50"/>
      <c r="N32" s="50"/>
      <c r="P32" s="126"/>
      <c r="R32" s="50"/>
      <c r="T32" s="4"/>
      <c r="U32" s="4"/>
      <c r="V32" s="4"/>
      <c r="W32" s="4"/>
      <c r="X32" s="4"/>
      <c r="Y32" s="146" t="s">
        <v>20</v>
      </c>
      <c r="Z32" s="146" t="s">
        <v>63</v>
      </c>
      <c r="AA32" s="146" t="s">
        <v>90</v>
      </c>
      <c r="AP32" s="50"/>
      <c r="AQ32" s="50"/>
    </row>
    <row r="33" spans="1:44" ht="20.100000000000001" customHeight="1">
      <c r="B33" s="20" t="s">
        <v>40</v>
      </c>
      <c r="C33" s="33">
        <f>C32</f>
        <v>0</v>
      </c>
      <c r="D33" s="43" t="s">
        <v>16</v>
      </c>
      <c r="E33" s="50"/>
      <c r="G33" s="4"/>
      <c r="N33" s="1" t="str">
        <f>IF($D$9="毎月通知・毎月精算","S031-2301-01","S034-2301-1")</f>
        <v>S034-2301-1</v>
      </c>
      <c r="P33" s="126"/>
      <c r="R33" s="50"/>
      <c r="T33" s="4"/>
      <c r="U33" s="4"/>
      <c r="V33" s="4"/>
      <c r="W33" s="4"/>
      <c r="X33" s="4"/>
      <c r="Y33" s="146" t="s">
        <v>63</v>
      </c>
      <c r="Z33" s="146" t="s">
        <v>64</v>
      </c>
      <c r="AA33" s="146" t="s">
        <v>20</v>
      </c>
      <c r="AP33" s="50"/>
      <c r="AQ33" s="50"/>
    </row>
    <row r="34" spans="1:44" ht="20.100000000000001" customHeight="1">
      <c r="R34" s="50"/>
      <c r="Y34" s="146" t="s">
        <v>64</v>
      </c>
      <c r="Z34" s="146" t="s">
        <v>62</v>
      </c>
      <c r="AA34" s="146" t="s">
        <v>63</v>
      </c>
      <c r="AP34" s="50"/>
      <c r="AQ34" s="50"/>
    </row>
    <row r="35" spans="1:44" ht="20.100000000000001" customHeight="1">
      <c r="B35" s="7"/>
      <c r="C35" s="7"/>
      <c r="L35" s="89" t="s">
        <v>15</v>
      </c>
      <c r="M35" s="103"/>
      <c r="N35" s="113"/>
      <c r="Y35" s="146" t="s">
        <v>62</v>
      </c>
      <c r="Z35" s="146" t="s">
        <v>61</v>
      </c>
      <c r="AA35" s="146" t="s">
        <v>64</v>
      </c>
    </row>
    <row r="36" spans="1:44" s="6" customFormat="1" ht="20.100000000000001" customHeight="1">
      <c r="A36" s="1"/>
      <c r="B36" s="21" t="s">
        <v>130</v>
      </c>
      <c r="C36" s="34"/>
      <c r="D36" s="34"/>
      <c r="E36" s="34"/>
      <c r="F36" s="34"/>
      <c r="G36" s="65"/>
      <c r="H36" s="34"/>
      <c r="I36" s="34"/>
      <c r="J36" s="34"/>
      <c r="K36" s="34"/>
      <c r="L36" s="34"/>
      <c r="M36" s="34"/>
      <c r="N36" s="114"/>
      <c r="P36" s="1"/>
      <c r="Q36" s="3"/>
      <c r="Y36" s="146" t="s">
        <v>61</v>
      </c>
      <c r="Z36" s="146"/>
      <c r="AA36" s="146" t="s">
        <v>62</v>
      </c>
    </row>
    <row r="37" spans="1:44" ht="20.100000000000001" customHeight="1">
      <c r="B37" s="9"/>
      <c r="N37" s="1"/>
      <c r="Y37" s="146" t="s">
        <v>9</v>
      </c>
      <c r="Z37" s="146"/>
      <c r="AA37" s="146" t="s">
        <v>5</v>
      </c>
    </row>
    <row r="38" spans="1:44" ht="20.100000000000001" customHeight="1">
      <c r="B38" s="10" t="s">
        <v>6</v>
      </c>
      <c r="C38" s="23"/>
      <c r="D38" s="44" t="str">
        <f>D5</f>
        <v>城里町長　上遠野　修</v>
      </c>
      <c r="E38" s="51"/>
      <c r="F38" s="51"/>
      <c r="G38" s="51"/>
      <c r="H38" s="51"/>
      <c r="I38" s="51"/>
      <c r="J38" s="79"/>
      <c r="K38" s="4"/>
      <c r="L38" s="90" t="s">
        <v>14</v>
      </c>
      <c r="M38" s="104" t="str">
        <f>M5</f>
        <v>2023年</v>
      </c>
      <c r="N38" s="115" t="str">
        <f>N5</f>
        <v>4月</v>
      </c>
    </row>
    <row r="39" spans="1:44" ht="20.100000000000001" customHeight="1">
      <c r="B39" s="11" t="s">
        <v>4</v>
      </c>
      <c r="C39" s="24"/>
      <c r="D39" s="44" t="str">
        <f>D6</f>
        <v>城里町消防団第   分団</v>
      </c>
      <c r="E39" s="51"/>
      <c r="F39" s="57"/>
      <c r="G39" s="57"/>
      <c r="H39" s="57"/>
      <c r="I39" s="57"/>
      <c r="J39" s="80"/>
      <c r="K39" s="4"/>
      <c r="L39" s="91" t="s">
        <v>93</v>
      </c>
      <c r="M39" s="25"/>
      <c r="N39" s="24"/>
    </row>
    <row r="40" spans="1:44" s="4" customFormat="1" ht="20.100000000000001" customHeight="1">
      <c r="B40" s="11" t="s">
        <v>11</v>
      </c>
      <c r="C40" s="25"/>
      <c r="D40" s="37"/>
      <c r="E40" s="37"/>
      <c r="F40" s="37"/>
      <c r="G40" s="37"/>
      <c r="H40" s="25"/>
      <c r="I40" s="25"/>
      <c r="J40" s="24"/>
      <c r="K40" s="67"/>
      <c r="L40" s="95" t="str">
        <f>L7</f>
        <v>2023年</v>
      </c>
      <c r="M40" s="105" t="str">
        <f>M7</f>
        <v>4月</v>
      </c>
      <c r="N40" s="116" t="str">
        <f>N7</f>
        <v>1日</v>
      </c>
      <c r="P40" s="1"/>
      <c r="Q40" s="3"/>
      <c r="T40" s="1"/>
      <c r="U40" s="1"/>
      <c r="V40" s="1"/>
      <c r="W40" s="1"/>
      <c r="X40" s="1"/>
      <c r="Y40" s="1"/>
      <c r="Z40" s="1"/>
      <c r="AA40" s="1"/>
    </row>
    <row r="41" spans="1:44" s="4" customFormat="1" ht="20.100000000000001" customHeight="1">
      <c r="B41" s="12"/>
      <c r="C41" s="35" t="str">
        <f>C8</f>
        <v>2023年</v>
      </c>
      <c r="D41" s="45" t="str">
        <f>D8</f>
        <v>4月</v>
      </c>
      <c r="E41" s="45" t="str">
        <f>E8</f>
        <v>1日</v>
      </c>
      <c r="F41" s="52" t="str">
        <f>F8</f>
        <v>（2023年4月1日～2023年4月30日)分</v>
      </c>
      <c r="G41" s="58"/>
      <c r="H41" s="66"/>
      <c r="I41" s="68"/>
      <c r="J41" s="81"/>
      <c r="K41" s="88" t="s">
        <v>83</v>
      </c>
      <c r="L41" s="89" t="s">
        <v>7</v>
      </c>
      <c r="M41" s="74" t="str">
        <f>M8</f>
        <v>末日</v>
      </c>
      <c r="N41" s="113" t="s">
        <v>92</v>
      </c>
      <c r="P41" s="6"/>
      <c r="Q41" s="3"/>
      <c r="T41" s="1"/>
      <c r="U41" s="1"/>
      <c r="V41" s="1"/>
      <c r="W41" s="1"/>
      <c r="X41" s="1"/>
      <c r="Y41" s="1"/>
      <c r="Z41" s="1"/>
      <c r="AA41" s="1"/>
    </row>
    <row r="42" spans="1:44" s="4" customFormat="1" ht="20.100000000000001" customHeight="1">
      <c r="B42" s="13"/>
      <c r="D42" s="6"/>
      <c r="E42" s="6"/>
      <c r="F42" s="6"/>
      <c r="G42" s="1"/>
      <c r="H42" s="67"/>
      <c r="I42" s="67"/>
      <c r="J42" s="67"/>
      <c r="K42" s="67"/>
      <c r="L42" s="1"/>
      <c r="M42" s="1"/>
      <c r="N42" s="1"/>
      <c r="P42" s="1"/>
      <c r="Q42" s="132"/>
      <c r="T42" s="1"/>
      <c r="U42" s="1"/>
      <c r="V42" s="1"/>
      <c r="W42" s="1"/>
      <c r="X42" s="1"/>
      <c r="Y42" s="1"/>
      <c r="Z42" s="1"/>
      <c r="AA42" s="1"/>
    </row>
    <row r="43" spans="1:44" s="4" customFormat="1" ht="20.100000000000001" customHeight="1">
      <c r="B43" s="14" t="s">
        <v>10</v>
      </c>
      <c r="C43" s="27" t="s">
        <v>36</v>
      </c>
      <c r="D43" s="39" t="s">
        <v>38</v>
      </c>
      <c r="E43" s="39"/>
      <c r="F43" s="39" t="s">
        <v>17</v>
      </c>
      <c r="G43" s="59"/>
      <c r="H43" s="59"/>
      <c r="I43" s="59"/>
      <c r="J43" s="75" t="s">
        <v>22</v>
      </c>
      <c r="K43" s="83" t="s">
        <v>23</v>
      </c>
      <c r="L43" s="93"/>
      <c r="M43" s="98" t="s">
        <v>131</v>
      </c>
      <c r="N43" s="108"/>
      <c r="P43" s="1"/>
      <c r="Q43" s="3"/>
      <c r="R43" s="1"/>
      <c r="S43" s="50"/>
      <c r="T43" s="1"/>
      <c r="U43" s="1"/>
      <c r="V43" s="1"/>
      <c r="W43" s="1"/>
      <c r="X43" s="1"/>
      <c r="Y43" s="1"/>
      <c r="Z43" s="1"/>
      <c r="AA43" s="1"/>
      <c r="AB43" s="1"/>
      <c r="AC43" s="1"/>
      <c r="AP43" s="1"/>
      <c r="AQ43" s="1"/>
      <c r="AR43" s="50"/>
    </row>
    <row r="44" spans="1:44" ht="20.100000000000001" customHeight="1">
      <c r="B44" s="15"/>
      <c r="C44" s="28" t="s">
        <v>30</v>
      </c>
      <c r="D44" s="40" t="s">
        <v>18</v>
      </c>
      <c r="E44" s="48"/>
      <c r="F44" s="53" t="s">
        <v>39</v>
      </c>
      <c r="G44" s="60">
        <v>300</v>
      </c>
      <c r="H44" s="60" t="s">
        <v>35</v>
      </c>
      <c r="I44" s="69" t="s">
        <v>1</v>
      </c>
      <c r="J44" s="28"/>
      <c r="K44" s="84"/>
      <c r="L44" s="94"/>
      <c r="M44" s="99"/>
      <c r="N44" s="109"/>
    </row>
    <row r="45" spans="1:44" s="5" customFormat="1" ht="20.100000000000001" customHeight="1">
      <c r="B45" s="16">
        <f>B31+1</f>
        <v>21</v>
      </c>
      <c r="C45" s="29"/>
      <c r="D45" s="41"/>
      <c r="E45" s="41"/>
      <c r="F45" s="54"/>
      <c r="G45" s="61"/>
      <c r="H45" s="61"/>
      <c r="I45" s="70"/>
      <c r="J45" s="76" t="str">
        <f t="shared" ref="J45:J64" si="12">IFERROR(VLOOKUP(D45,$P$7:$Q$19,2,FALSE),"")</f>
        <v/>
      </c>
      <c r="K45" s="85"/>
      <c r="L45" s="85"/>
      <c r="M45" s="100"/>
      <c r="N45" s="110"/>
      <c r="P45" s="4"/>
      <c r="Q45" s="3"/>
      <c r="R45" s="6"/>
      <c r="S45" s="140"/>
      <c r="T45" s="1"/>
      <c r="U45" s="1"/>
      <c r="V45" s="1"/>
      <c r="W45" s="1"/>
      <c r="X45" s="1"/>
      <c r="Y45" s="1"/>
      <c r="Z45" s="1"/>
      <c r="AA45" s="1"/>
      <c r="AB45" s="6"/>
      <c r="AC45" s="6"/>
      <c r="AP45" s="6"/>
      <c r="AQ45" s="6"/>
      <c r="AR45" s="140"/>
    </row>
    <row r="46" spans="1:44" s="5" customFormat="1" ht="20.100000000000001" customHeight="1">
      <c r="B46" s="17">
        <f t="shared" ref="B46:B64" si="13">B45+1</f>
        <v>22</v>
      </c>
      <c r="C46" s="30"/>
      <c r="D46" s="41"/>
      <c r="E46" s="41"/>
      <c r="F46" s="55"/>
      <c r="G46" s="62"/>
      <c r="H46" s="62"/>
      <c r="I46" s="71"/>
      <c r="J46" s="77" t="str">
        <f t="shared" si="12"/>
        <v/>
      </c>
      <c r="K46" s="86"/>
      <c r="L46" s="86"/>
      <c r="M46" s="101"/>
      <c r="N46" s="111"/>
      <c r="P46" s="4"/>
      <c r="Q46" s="133"/>
      <c r="R46" s="1"/>
      <c r="S46" s="50"/>
      <c r="T46" s="1"/>
      <c r="U46" s="1"/>
      <c r="V46" s="1"/>
      <c r="W46" s="1"/>
      <c r="X46" s="1"/>
      <c r="Y46" s="1"/>
      <c r="Z46" s="1"/>
      <c r="AA46" s="1"/>
      <c r="AB46" s="1"/>
      <c r="AC46" s="1"/>
      <c r="AP46" s="1"/>
      <c r="AQ46" s="1"/>
      <c r="AR46" s="50"/>
    </row>
    <row r="47" spans="1:44" s="5" customFormat="1" ht="20.100000000000001" customHeight="1">
      <c r="B47" s="17">
        <f t="shared" si="13"/>
        <v>23</v>
      </c>
      <c r="C47" s="30"/>
      <c r="D47" s="41"/>
      <c r="E47" s="41"/>
      <c r="F47" s="55"/>
      <c r="G47" s="62"/>
      <c r="H47" s="62"/>
      <c r="I47" s="71"/>
      <c r="J47" s="77" t="str">
        <f t="shared" si="12"/>
        <v/>
      </c>
      <c r="K47" s="86"/>
      <c r="L47" s="86"/>
      <c r="M47" s="101"/>
      <c r="N47" s="111"/>
      <c r="P47" s="4"/>
      <c r="Q47" s="133"/>
      <c r="R47" s="1"/>
      <c r="S47" s="50"/>
      <c r="T47" s="1"/>
      <c r="U47" s="1"/>
      <c r="V47" s="1"/>
      <c r="W47" s="1"/>
      <c r="X47" s="1"/>
      <c r="Y47" s="1"/>
      <c r="Z47" s="1"/>
      <c r="AA47" s="1"/>
      <c r="AB47" s="1"/>
      <c r="AC47" s="1"/>
      <c r="AP47" s="1"/>
      <c r="AQ47" s="1"/>
      <c r="AR47" s="50"/>
    </row>
    <row r="48" spans="1:44" ht="20.100000000000001" customHeight="1">
      <c r="B48" s="17">
        <f t="shared" si="13"/>
        <v>24</v>
      </c>
      <c r="C48" s="30"/>
      <c r="D48" s="41"/>
      <c r="E48" s="41"/>
      <c r="F48" s="55"/>
      <c r="G48" s="62"/>
      <c r="H48" s="62"/>
      <c r="I48" s="71"/>
      <c r="J48" s="77" t="str">
        <f t="shared" si="12"/>
        <v/>
      </c>
      <c r="K48" s="86"/>
      <c r="L48" s="86"/>
      <c r="M48" s="101"/>
      <c r="N48" s="111"/>
      <c r="Q48" s="133"/>
    </row>
    <row r="49" spans="2:17" ht="20.100000000000001" customHeight="1">
      <c r="B49" s="17">
        <f t="shared" si="13"/>
        <v>25</v>
      </c>
      <c r="C49" s="30"/>
      <c r="D49" s="41"/>
      <c r="E49" s="41"/>
      <c r="F49" s="55"/>
      <c r="G49" s="62"/>
      <c r="H49" s="62"/>
      <c r="I49" s="71"/>
      <c r="J49" s="77" t="str">
        <f t="shared" si="12"/>
        <v/>
      </c>
      <c r="K49" s="86"/>
      <c r="L49" s="86"/>
      <c r="M49" s="101"/>
      <c r="N49" s="111"/>
    </row>
    <row r="50" spans="2:17" ht="20.100000000000001" customHeight="1">
      <c r="B50" s="17">
        <f t="shared" si="13"/>
        <v>26</v>
      </c>
      <c r="C50" s="30"/>
      <c r="D50" s="41"/>
      <c r="E50" s="41"/>
      <c r="F50" s="55"/>
      <c r="G50" s="62"/>
      <c r="H50" s="62"/>
      <c r="I50" s="71"/>
      <c r="J50" s="77" t="str">
        <f t="shared" si="12"/>
        <v/>
      </c>
      <c r="K50" s="86"/>
      <c r="L50" s="86"/>
      <c r="M50" s="101"/>
      <c r="N50" s="111"/>
      <c r="P50" s="6"/>
    </row>
    <row r="51" spans="2:17" ht="20.100000000000001" customHeight="1">
      <c r="B51" s="17">
        <f t="shared" si="13"/>
        <v>27</v>
      </c>
      <c r="C51" s="30"/>
      <c r="D51" s="41"/>
      <c r="E51" s="41"/>
      <c r="F51" s="55"/>
      <c r="G51" s="62"/>
      <c r="H51" s="62"/>
      <c r="I51" s="71"/>
      <c r="J51" s="77" t="str">
        <f t="shared" si="12"/>
        <v/>
      </c>
      <c r="K51" s="86"/>
      <c r="L51" s="86"/>
      <c r="M51" s="101"/>
      <c r="N51" s="111"/>
      <c r="Q51" s="132"/>
    </row>
    <row r="52" spans="2:17" ht="20.100000000000001" customHeight="1">
      <c r="B52" s="17">
        <f t="shared" si="13"/>
        <v>28</v>
      </c>
      <c r="C52" s="30"/>
      <c r="D52" s="41"/>
      <c r="E52" s="41"/>
      <c r="F52" s="55"/>
      <c r="G52" s="62"/>
      <c r="H52" s="62"/>
      <c r="I52" s="71"/>
      <c r="J52" s="77" t="str">
        <f t="shared" si="12"/>
        <v/>
      </c>
      <c r="K52" s="86"/>
      <c r="L52" s="86"/>
      <c r="M52" s="101"/>
      <c r="N52" s="111"/>
    </row>
    <row r="53" spans="2:17" ht="20.100000000000001" customHeight="1">
      <c r="B53" s="17">
        <f t="shared" si="13"/>
        <v>29</v>
      </c>
      <c r="C53" s="30"/>
      <c r="D53" s="41"/>
      <c r="E53" s="41"/>
      <c r="F53" s="55"/>
      <c r="G53" s="62"/>
      <c r="H53" s="62"/>
      <c r="I53" s="71"/>
      <c r="J53" s="77" t="str">
        <f t="shared" si="12"/>
        <v/>
      </c>
      <c r="K53" s="86"/>
      <c r="L53" s="86"/>
      <c r="M53" s="101"/>
      <c r="N53" s="111"/>
    </row>
    <row r="54" spans="2:17" ht="20.100000000000001" customHeight="1">
      <c r="B54" s="17">
        <f t="shared" si="13"/>
        <v>30</v>
      </c>
      <c r="C54" s="30"/>
      <c r="D54" s="41"/>
      <c r="E54" s="41"/>
      <c r="F54" s="55"/>
      <c r="G54" s="62"/>
      <c r="H54" s="62"/>
      <c r="I54" s="71"/>
      <c r="J54" s="77" t="str">
        <f t="shared" si="12"/>
        <v/>
      </c>
      <c r="K54" s="86"/>
      <c r="L54" s="86"/>
      <c r="M54" s="101"/>
      <c r="N54" s="111"/>
    </row>
    <row r="55" spans="2:17" ht="20.100000000000001" customHeight="1">
      <c r="B55" s="17">
        <f t="shared" si="13"/>
        <v>31</v>
      </c>
      <c r="C55" s="30"/>
      <c r="D55" s="41"/>
      <c r="E55" s="41"/>
      <c r="F55" s="55"/>
      <c r="G55" s="62"/>
      <c r="H55" s="62"/>
      <c r="I55" s="71"/>
      <c r="J55" s="77" t="str">
        <f t="shared" si="12"/>
        <v/>
      </c>
      <c r="K55" s="86"/>
      <c r="L55" s="86"/>
      <c r="M55" s="101"/>
      <c r="N55" s="111"/>
    </row>
    <row r="56" spans="2:17" ht="20.100000000000001" customHeight="1">
      <c r="B56" s="17">
        <f t="shared" si="13"/>
        <v>32</v>
      </c>
      <c r="C56" s="30"/>
      <c r="D56" s="41"/>
      <c r="E56" s="41"/>
      <c r="F56" s="55"/>
      <c r="G56" s="62"/>
      <c r="H56" s="62"/>
      <c r="I56" s="71"/>
      <c r="J56" s="77" t="str">
        <f t="shared" si="12"/>
        <v/>
      </c>
      <c r="K56" s="86"/>
      <c r="L56" s="86"/>
      <c r="M56" s="101"/>
      <c r="N56" s="111"/>
    </row>
    <row r="57" spans="2:17" ht="20.100000000000001" customHeight="1">
      <c r="B57" s="17">
        <f t="shared" si="13"/>
        <v>33</v>
      </c>
      <c r="C57" s="30"/>
      <c r="D57" s="41"/>
      <c r="E57" s="41"/>
      <c r="F57" s="55"/>
      <c r="G57" s="62"/>
      <c r="H57" s="62"/>
      <c r="I57" s="71"/>
      <c r="J57" s="77" t="str">
        <f t="shared" si="12"/>
        <v/>
      </c>
      <c r="K57" s="86"/>
      <c r="L57" s="86"/>
      <c r="M57" s="101"/>
      <c r="N57" s="111"/>
    </row>
    <row r="58" spans="2:17" ht="20.100000000000001" customHeight="1">
      <c r="B58" s="17">
        <f t="shared" si="13"/>
        <v>34</v>
      </c>
      <c r="C58" s="30"/>
      <c r="D58" s="41"/>
      <c r="E58" s="41"/>
      <c r="F58" s="55"/>
      <c r="G58" s="62"/>
      <c r="H58" s="62"/>
      <c r="I58" s="71"/>
      <c r="J58" s="77" t="str">
        <f t="shared" si="12"/>
        <v/>
      </c>
      <c r="K58" s="86"/>
      <c r="L58" s="86"/>
      <c r="M58" s="101"/>
      <c r="N58" s="111"/>
    </row>
    <row r="59" spans="2:17" ht="20.100000000000001" customHeight="1">
      <c r="B59" s="17">
        <f t="shared" si="13"/>
        <v>35</v>
      </c>
      <c r="C59" s="30"/>
      <c r="D59" s="41"/>
      <c r="E59" s="41"/>
      <c r="F59" s="55"/>
      <c r="G59" s="62"/>
      <c r="H59" s="62"/>
      <c r="I59" s="71"/>
      <c r="J59" s="77" t="str">
        <f t="shared" si="12"/>
        <v/>
      </c>
      <c r="K59" s="86"/>
      <c r="L59" s="86"/>
      <c r="M59" s="101"/>
      <c r="N59" s="111"/>
    </row>
    <row r="60" spans="2:17" ht="20.100000000000001" customHeight="1">
      <c r="B60" s="17">
        <f t="shared" si="13"/>
        <v>36</v>
      </c>
      <c r="C60" s="30"/>
      <c r="D60" s="41"/>
      <c r="E60" s="41"/>
      <c r="F60" s="55"/>
      <c r="G60" s="62"/>
      <c r="H60" s="62"/>
      <c r="I60" s="71"/>
      <c r="J60" s="77" t="str">
        <f t="shared" si="12"/>
        <v/>
      </c>
      <c r="K60" s="86"/>
      <c r="L60" s="86"/>
      <c r="M60" s="101"/>
      <c r="N60" s="111"/>
    </row>
    <row r="61" spans="2:17" ht="20.100000000000001" customHeight="1">
      <c r="B61" s="17">
        <f t="shared" si="13"/>
        <v>37</v>
      </c>
      <c r="C61" s="30"/>
      <c r="D61" s="41"/>
      <c r="E61" s="41"/>
      <c r="F61" s="55"/>
      <c r="G61" s="62"/>
      <c r="H61" s="62"/>
      <c r="I61" s="71"/>
      <c r="J61" s="77" t="str">
        <f t="shared" si="12"/>
        <v/>
      </c>
      <c r="K61" s="86"/>
      <c r="L61" s="86"/>
      <c r="M61" s="101"/>
      <c r="N61" s="111"/>
    </row>
    <row r="62" spans="2:17" ht="20.100000000000001" customHeight="1">
      <c r="B62" s="17">
        <f t="shared" si="13"/>
        <v>38</v>
      </c>
      <c r="C62" s="30"/>
      <c r="D62" s="41"/>
      <c r="E62" s="41"/>
      <c r="F62" s="55"/>
      <c r="G62" s="62"/>
      <c r="H62" s="62"/>
      <c r="I62" s="71"/>
      <c r="J62" s="77" t="str">
        <f t="shared" si="12"/>
        <v/>
      </c>
      <c r="K62" s="86"/>
      <c r="L62" s="86"/>
      <c r="M62" s="101"/>
      <c r="N62" s="111"/>
    </row>
    <row r="63" spans="2:17" ht="20.100000000000001" customHeight="1">
      <c r="B63" s="17">
        <f t="shared" si="13"/>
        <v>39</v>
      </c>
      <c r="C63" s="30"/>
      <c r="D63" s="41"/>
      <c r="E63" s="41"/>
      <c r="F63" s="55"/>
      <c r="G63" s="62"/>
      <c r="H63" s="62"/>
      <c r="I63" s="71"/>
      <c r="J63" s="77" t="str">
        <f t="shared" si="12"/>
        <v/>
      </c>
      <c r="K63" s="86"/>
      <c r="L63" s="86"/>
      <c r="M63" s="101"/>
      <c r="N63" s="111"/>
    </row>
    <row r="64" spans="2:17" ht="20.100000000000001" customHeight="1">
      <c r="B64" s="18">
        <f t="shared" si="13"/>
        <v>40</v>
      </c>
      <c r="C64" s="31"/>
      <c r="D64" s="41"/>
      <c r="E64" s="41"/>
      <c r="F64" s="56"/>
      <c r="G64" s="63"/>
      <c r="H64" s="63"/>
      <c r="I64" s="72"/>
      <c r="J64" s="78" t="str">
        <f t="shared" si="12"/>
        <v/>
      </c>
      <c r="K64" s="87"/>
      <c r="L64" s="87"/>
      <c r="M64" s="102"/>
      <c r="N64" s="112"/>
    </row>
    <row r="65" spans="2:44" ht="20.100000000000001" customHeight="1">
      <c r="B65" s="19" t="s">
        <v>133</v>
      </c>
      <c r="C65" s="32">
        <f>COUNTA(D45:E64)</f>
        <v>0</v>
      </c>
      <c r="D65" s="42" t="s">
        <v>16</v>
      </c>
      <c r="E65" s="49"/>
      <c r="F65" s="49"/>
      <c r="G65" s="64" t="s">
        <v>112</v>
      </c>
      <c r="H65" s="49"/>
      <c r="I65" s="49"/>
      <c r="J65" s="50"/>
      <c r="K65" s="49"/>
      <c r="L65" s="49"/>
      <c r="M65" s="50"/>
      <c r="N65" s="50"/>
    </row>
    <row r="66" spans="2:44" ht="20.100000000000001" customHeight="1">
      <c r="B66" s="20" t="s">
        <v>40</v>
      </c>
      <c r="C66" s="33">
        <f>C65+C33</f>
        <v>0</v>
      </c>
      <c r="D66" s="43" t="s">
        <v>16</v>
      </c>
      <c r="E66" s="50"/>
      <c r="G66" s="4"/>
      <c r="N66" s="1" t="str">
        <f>IF($D$9="毎月通知・毎月精算","S031-2301-01","S034-2301-1")</f>
        <v>S034-2301-1</v>
      </c>
    </row>
    <row r="67" spans="2:44" ht="20.100000000000001" customHeight="1"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 spans="2:44" ht="20.100000000000001" customHeight="1"/>
    <row r="69" spans="2:44" s="6" customFormat="1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17"/>
      <c r="P69" s="1"/>
      <c r="Q69" s="3"/>
      <c r="R69" s="1"/>
      <c r="S69" s="50"/>
      <c r="T69" s="1"/>
      <c r="U69" s="1"/>
      <c r="V69" s="1"/>
      <c r="W69" s="1"/>
      <c r="X69" s="1"/>
      <c r="Y69" s="1"/>
      <c r="Z69" s="1"/>
      <c r="AA69" s="1"/>
      <c r="AB69" s="1"/>
      <c r="AC69" s="1"/>
      <c r="AP69" s="1"/>
      <c r="AQ69" s="1"/>
      <c r="AR69" s="50"/>
    </row>
  </sheetData>
  <mergeCells count="47">
    <mergeCell ref="B2:C2"/>
    <mergeCell ref="M2:N2"/>
    <mergeCell ref="Q2:R2"/>
    <mergeCell ref="Q4:R4"/>
    <mergeCell ref="D5:J5"/>
    <mergeCell ref="D6:J6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30:E30"/>
    <mergeCell ref="D31:E31"/>
    <mergeCell ref="B35:C35"/>
    <mergeCell ref="D45:E45"/>
    <mergeCell ref="D46:E46"/>
    <mergeCell ref="D47:E47"/>
    <mergeCell ref="D48:E48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64:E64"/>
  </mergeCells>
  <phoneticPr fontId="18"/>
  <conditionalFormatting sqref="AE18:AO18">
    <cfRule type="expression" dxfId="10" priority="12">
      <formula>AE18=""</formula>
    </cfRule>
  </conditionalFormatting>
  <conditionalFormatting sqref="Q3">
    <cfRule type="expression" dxfId="9" priority="11">
      <formula>Q3=""</formula>
    </cfRule>
  </conditionalFormatting>
  <conditionalFormatting sqref="Q4">
    <cfRule type="expression" dxfId="8" priority="10">
      <formula>OR(Q4="",Q4="年")</formula>
    </cfRule>
  </conditionalFormatting>
  <conditionalFormatting sqref="Q4:R4">
    <cfRule type="expression" dxfId="7" priority="9">
      <formula>Q4=""</formula>
    </cfRule>
  </conditionalFormatting>
  <conditionalFormatting sqref="M2:N2">
    <cfRule type="expression" dxfId="6" priority="8">
      <formula>M2=""</formula>
    </cfRule>
  </conditionalFormatting>
  <conditionalFormatting sqref="M5 L7">
    <cfRule type="expression" dxfId="5" priority="6">
      <formula>OR(M3="",M3="年")</formula>
    </cfRule>
  </conditionalFormatting>
  <conditionalFormatting sqref="M7 N5">
    <cfRule type="expression" dxfId="4" priority="5">
      <formula>OR(M5="",M5="月")</formula>
    </cfRule>
  </conditionalFormatting>
  <conditionalFormatting sqref="N7 M8">
    <cfRule type="expression" dxfId="3" priority="4">
      <formula>OR(N6="",N6="日")</formula>
    </cfRule>
  </conditionalFormatting>
  <conditionalFormatting sqref="C8">
    <cfRule type="expression" dxfId="2" priority="3">
      <formula>OR(D6="",D6="年")</formula>
    </cfRule>
  </conditionalFormatting>
  <conditionalFormatting sqref="D8">
    <cfRule type="expression" dxfId="1" priority="2">
      <formula>OR(D8="",D8="月")</formula>
    </cfRule>
  </conditionalFormatting>
  <conditionalFormatting sqref="E8">
    <cfRule type="expression" dxfId="0" priority="1">
      <formula>OR(E8="",E8="日")</formula>
    </cfRule>
  </conditionalFormatting>
  <dataValidations count="16">
    <dataValidation type="list" allowBlank="1" showDropDown="0" showInputMessage="1" showErrorMessage="1" sqref="C8 L38 C41 L5:M5 L7">
      <formula1>$T$5:$T$17</formula1>
    </dataValidation>
    <dataValidation type="list" allowBlank="1" showDropDown="0" showInputMessage="1" showErrorMessage="1" sqref="D8 N5 M7 D41">
      <formula1>$V$5:$V$17</formula1>
    </dataValidation>
    <dataValidation imeMode="hiragana" allowBlank="1" showDropDown="0" showInputMessage="1" showErrorMessage="1" sqref="H12:H31 H45:H64"/>
    <dataValidation imeMode="halfAlpha" allowBlank="1" showDropDown="0" showInputMessage="1" showErrorMessage="1" sqref="I12:I31 G12:G31 I45:I64 G45:G64"/>
    <dataValidation imeMode="on" allowBlank="1" showDropDown="0" showInputMessage="1" showErrorMessage="1" sqref="K45:L64 K12:L31 F45:F64 F12:F31"/>
    <dataValidation imeMode="fullKatakana" allowBlank="1" showDropDown="0" showInputMessage="1" showErrorMessage="1" sqref="M12:M31 M45:M64"/>
    <dataValidation imeMode="off" allowBlank="1" showDropDown="0" showInputMessage="1" showErrorMessage="1" sqref="Q6 N12:N31 C12:C31 N45:N64 C45:C64"/>
    <dataValidation type="list" allowBlank="1" showDropDown="0" showInputMessage="1" showErrorMessage="1" sqref="E41">
      <formula1>$Y$5:$Y$36</formula1>
    </dataValidation>
    <dataValidation type="list" allowBlank="1" showDropDown="0" showInputMessage="1" showErrorMessage="1" sqref="M38">
      <formula1>$V$5:$V$16</formula1>
    </dataValidation>
    <dataValidation allowBlank="1" showDropDown="0" showInputMessage="1" showErrorMessage="1" promptTitle="任意記入" prompt="管理方法にあわせて必要に応じて記入ください。" sqref="N41"/>
    <dataValidation type="list" allowBlank="1" showDropDown="0" showInputMessage="1" showErrorMessage="1" sqref="E8 M41 M8 N7">
      <formula1>$Y$5:$Y$37</formula1>
    </dataValidation>
    <dataValidation type="list" allowBlank="1" showDropDown="0" showInputMessage="1" showErrorMessage="1" sqref="R3">
      <formula1>"選択ください,なし,％割引,％割増"</formula1>
    </dataValidation>
    <dataValidation type="list" allowBlank="1" showDropDown="0" showInputMessage="1" showErrorMessage="1" sqref="Q2">
      <formula1>"スタンダード,スリム"</formula1>
    </dataValidation>
    <dataValidation type="list" allowBlank="1" showDropDown="0" showInputMessage="1" showErrorMessage="1" sqref="D45:E64 D12:E31">
      <formula1>$P$7:$P$20</formula1>
    </dataValidation>
    <dataValidation type="list" allowBlank="1" showDropDown="0" showInputMessage="1" showErrorMessage="1" sqref="Q4:R4">
      <formula1>"毎月通知・毎月精算,毎月通知・一括精算"</formula1>
    </dataValidation>
    <dataValidation allowBlank="1" showDropDown="0" showInputMessage="1" showErrorMessage="1" promptTitle="リストから選択して下さい" prompt="毎月通知・毎月精算、毎月通知・一括精算のいずれかを選択して下さい。" sqref="T2"/>
  </dataValidations>
  <printOptions horizontalCentered="1"/>
  <pageMargins left="0.39370078740157483" right="0.39370078740157483" top="0.39370078740157483" bottom="0.19685039370078741" header="0.31496062992125984" footer="0.31496062992125984"/>
  <pageSetup paperSize="9" scale="90" fitToWidth="1" fitToHeight="1" orientation="landscape" usePrinterDefaults="1" r:id="rId1"/>
  <headerFooter>
    <oddFooter>&amp;C&amp;P ページ</oddFooter>
  </headerFooter>
  <rowBreaks count="1" manualBreakCount="1">
    <brk id="33" max="16383" man="1"/>
  </rowBreaks>
  <legacy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_rels/item4.xml.rels><?xml version="1.0" encoding="UTF-8"?><Relationships xmlns="http://schemas.openxmlformats.org/package/2006/relationships"><Relationship Id="rId1" Type="http://schemas.openxmlformats.org/officeDocument/2006/relationships/customXmlProps" Target="itemProps4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EEDD4C931B19D4DB44CAE19963699C5" ma:contentTypeVersion="" ma:contentTypeDescription="新しいドキュメントを作成します。" ma:contentTypeScope="" ma:versionID="4846093bdbe6098e380e15cca681d052">
  <xsd:schema xmlns:xsd="http://www.w3.org/2001/XMLSchema" xmlns:xs="http://www.w3.org/2001/XMLSchema" xmlns:p="http://schemas.microsoft.com/office/2006/metadata/properties" xmlns:ns1="http://schemas.microsoft.com/sharepoint/v3" xmlns:ns3="a7978bb4-1253-4b4a-9f29-ad5f22a8c264" xmlns:ns4="d56a14d9-fe90-4518-a8d6-2f0e7d13acb2" targetNamespace="http://schemas.microsoft.com/office/2006/metadata/properties" ma:root="true" ma:fieldsID="0da77470932aa0015f04afbd4767aca3" ns1:_="" ns3:_="" ns4:_="">
    <xsd:import namespace="http://schemas.microsoft.com/sharepoint/v3"/>
    <xsd:import namespace="a7978bb4-1253-4b4a-9f29-ad5f22a8c264"/>
    <xsd:import namespace="d56a14d9-fe90-4518-a8d6-2f0e7d13acb2"/>
    <xsd:element name="properties">
      <xsd:complexType>
        <xsd:sequence>
          <xsd:element name="documentManagement">
            <xsd:complexType>
              <xsd:all>
                <xsd:element ref="ns1:_dlc_ExpireDateSaved" minOccurs="0"/>
                <xsd:element ref="ns1:_dlc_ExpireDate" minOccurs="0"/>
                <xsd:element ref="ns1:_dlc_Exempt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4:TaxCatchAll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CheckInW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8" nillable="true" ma:displayName="元の有効期限" ma:hidden="true" ma:internalName="_dlc_ExpireDateSaved" ma:readOnly="true">
      <xsd:simpleType>
        <xsd:restriction base="dms:DateTime"/>
      </xsd:simpleType>
    </xsd:element>
    <xsd:element name="_dlc_ExpireDate" ma:index="9" nillable="true" ma:displayName="期日" ma:description="" ma:hidden="true" ma:indexed="true" ma:internalName="_dlc_ExpireDate" ma:readOnly="true">
      <xsd:simpleType>
        <xsd:restriction base="dms:DateTime"/>
      </xsd:simpleType>
    </xsd:element>
    <xsd:element name="_dlc_Exempt" ma:index="10" nillable="true" ma:displayName="ポリシー適用除外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978bb4-1253-4b4a-9f29-ad5f22a8c2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bdd2da45-39bc-404f-a7a0-51152ea7c9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CheckInWF" ma:index="21" nillable="true" ma:displayName="CheckInWF" ma:internalName="CheckInWF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6a14d9-fe90-4518-a8d6-2f0e7d13ac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7ec1262-1104-4680-89e3-6684996d6e91}" ma:internalName="TaxCatchAll" ma:showField="CatchAllData" ma:web="d56a14d9-fe90-4518-a8d6-2f0e7d13ac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heckInWF xmlns="a7978bb4-1253-4b4a-9f29-ad5f22a8c264">
      <Url>https://msadig.sharepoint.com/sites/A5A/private-site/_layouts/15/wrkstat.aspx?List=a7978bb4-1253-4b4a-9f29-ad5f22a8c264&amp;WorkflowInstanceName=d803d843-a562-4dc9-bbde-3a77434661b4</Url>
      <Description>Check In</Description>
    </CheckInWF>
    <lcf76f155ced4ddcb4097134ff3c332f xmlns="a7978bb4-1253-4b4a-9f29-ad5f22a8c264">
      <Terms xmlns="http://schemas.microsoft.com/office/infopath/2007/PartnerControls"/>
    </lcf76f155ced4ddcb4097134ff3c332f>
    <TaxCatchAll xmlns="d56a14d9-fe90-4518-a8d6-2f0e7d13acb2" xsi:nil="true"/>
    <_dlc_ExpireDate xmlns="http://schemas.microsoft.com/sharepoint/v3">2028-03-01T09:51:37+00:00</_dlc_ExpireDate>
    <_dlc_ExpireDateSaved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1103D2-53ED-4E75-BE74-B3E558C20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7978bb4-1253-4b4a-9f29-ad5f22a8c264"/>
    <ds:schemaRef ds:uri="d56a14d9-fe90-4518-a8d6-2f0e7d13ac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501CD0-0AE0-4DA1-884B-253B2E292BB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30AE5E-139D-4B50-984E-B0854BED5DA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41CE56F7-14BD-44FB-9DD7-081DCE78EF10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a7978bb4-1253-4b4a-9f29-ad5f22a8c264"/>
    <ds:schemaRef ds:uri="http://schemas.openxmlformats.org/package/2006/metadata/core-properties"/>
    <ds:schemaRef ds:uri="http://schemas.microsoft.com/office/2006/documentManagement/types"/>
    <ds:schemaRef ds:uri="d56a14d9-fe90-4518-a8d6-2f0e7d13acb2"/>
    <ds:schemaRef ds:uri="http://www.w3.org/XML/1998/namespace"/>
    <ds:schemaRef ds:uri="http://purl.org/dc/dcmitype/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　分団</vt:lpstr>
    </vt:vector>
  </TitlesOfParts>
  <Company>MS&amp;AD INSURANCE GROUP</Company>
  <LinksUpToDate>false</LinksUpToDate>
  <SharedDoc>false</SharedDoc>
  <HyperlinksChanged>false</HyperlinksChanged>
  <AppVersion>5.0.2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MS&amp;AD INSURANCE GROUP</dc:creator>
  <cp:lastModifiedBy>古滝　寿善</cp:lastModifiedBy>
  <cp:lastPrinted>2023-03-01T07:54:45Z</cp:lastPrinted>
  <dcterms:created xsi:type="dcterms:W3CDTF">2022-02-24T06:26:36Z</dcterms:created>
  <dcterms:modified xsi:type="dcterms:W3CDTF">2023-05-31T06:34:08Z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0x0101002EEDD4C931B19D4DB44CAE19963699C5</vt:lpwstr>
  </property>
  <property fmtid="{D5CDD505-2E9C-101B-9397-08002B2CF9AE}" pid="3" name="ItemRetentionFormula">
    <vt:lpwstr>&lt;formula id="Microsoft.Office.RecordsManagement.PolicyFeatures.Expiration.Formula.BuiltIn"&gt;&lt;number&gt;5&lt;/number&gt;&lt;property&gt;Modified&lt;/property&gt;&lt;propertyId&gt;28cf69c5-fa48-462a-b5cd-27b6f9d2bd5f&lt;/propertyId&gt;&lt;period&gt;years&lt;/period&gt;&lt;/formula&gt;</vt:lpwstr>
  </property>
  <property fmtid="{D5CDD505-2E9C-101B-9397-08002B2CF9AE}" pid="4" name="MediaServiceImageTags">
    <vt:lpwstr/>
  </property>
  <property fmtid="{D5CDD505-2E9C-101B-9397-08002B2CF9AE}" pid="5" name="_dlc_ExpireDate">
    <vt:lpwstr>2027-03-22T19:08:30Z</vt:lpwstr>
  </property>
  <property fmtid="{D5CDD505-2E9C-101B-9397-08002B2CF9AE}" pid="6" name="_dlc_policyId">
    <vt:lpwstr>/sites/A5A/private-site/DocLib/11開発_30お客さま５年</vt:lpwstr>
  </property>
  <property fmtid="{DCFEDD21-7773-49B2-8022-6FC58DB5260B}" pid="2" name="SavedVersions">
    <vt:vector size="1" baseType="lpwstr">
      <vt:lpwstr>5.0.1.0</vt:lpwstr>
    </vt:vector>
  </property>
  <property fmtid="{DCFEDD21-7773-49B2-8022-6FC58DB5260B}" pid="3" name="LastSavedVersion">
    <vt:lpwstr>5.0.1.0</vt:lpwstr>
  </property>
  <property fmtid="{DCFEDD21-7773-49B2-8022-6FC58DB5260B}" pid="4" name="LastSavedDate">
    <vt:filetime>2023-05-31T06:34:08Z</vt:filetime>
  </property>
</Properties>
</file>